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120" windowWidth="19416" windowHeight="9612" tabRatio="653" activeTab="0"/>
  </bookViews>
  <sheets>
    <sheet name="Camino" sheetId="1" r:id="rId1"/>
    <sheet name="DV-IDENTITY-0" sheetId="2" state="veryHidden" r:id="rId2"/>
  </sheets>
  <externalReferences>
    <externalReference r:id="rId5"/>
  </externalReferences>
  <definedNames>
    <definedName name="Excel_BuiltIn_Print_Area_1">0</definedName>
    <definedName name="Excel_BuiltIn_Print_Area_2">0</definedName>
    <definedName name="Excel_BuiltIn_Print_Titles_1">0</definedName>
    <definedName name="Excel_BuiltIn_Print_Titles_2">0</definedName>
    <definedName name="_xlnm.Print_Titles" localSheetId="0">'Camino'!$14:$15</definedName>
    <definedName name="_xlnm.Print_Area" localSheetId="0">'Camino'!$A$1:$J$56</definedName>
  </definedNames>
  <calcPr fullCalcOnLoad="1" refMode="R1C1"/>
</workbook>
</file>

<file path=xl/sharedStrings.xml><?xml version="1.0" encoding="utf-8"?>
<sst xmlns="http://schemas.openxmlformats.org/spreadsheetml/2006/main" count="149" uniqueCount="136">
  <si>
    <t>Диван 3-х местн.</t>
  </si>
  <si>
    <t>Подголовник</t>
  </si>
  <si>
    <t>ЕМКОСТЬ Д/ХРАН-Я ПРЕД-В:</t>
  </si>
  <si>
    <t>x</t>
  </si>
  <si>
    <t>MADRAS</t>
  </si>
  <si>
    <t>KALIFORNIA</t>
  </si>
  <si>
    <t>2BB</t>
  </si>
  <si>
    <t>3BB</t>
  </si>
  <si>
    <t>SSE</t>
  </si>
  <si>
    <t xml:space="preserve"> 1(60)BB</t>
  </si>
  <si>
    <t xml:space="preserve"> 1(70)BB</t>
  </si>
  <si>
    <t xml:space="preserve"> 2F</t>
  </si>
  <si>
    <t xml:space="preserve"> 2FBB</t>
  </si>
  <si>
    <t xml:space="preserve"> 3F</t>
  </si>
  <si>
    <t xml:space="preserve"> E</t>
  </si>
  <si>
    <t>CAMINO</t>
  </si>
  <si>
    <t xml:space="preserve"> 1(50)BB</t>
  </si>
  <si>
    <t>3FBB</t>
  </si>
  <si>
    <t>3QFBB</t>
  </si>
  <si>
    <t xml:space="preserve"> FLY</t>
  </si>
  <si>
    <t>SE(45)</t>
  </si>
  <si>
    <t xml:space="preserve"> ZAG</t>
  </si>
  <si>
    <t>1(50)</t>
  </si>
  <si>
    <t>1(70)</t>
  </si>
  <si>
    <t>106 x 99 x 85</t>
  </si>
  <si>
    <t>116 x 99 x 85</t>
  </si>
  <si>
    <t>126 x 99 x 85</t>
  </si>
  <si>
    <t>50 x 99 x 85</t>
  </si>
  <si>
    <t>60 x 99 x 85</t>
  </si>
  <si>
    <t>70 x 99 x 85</t>
  </si>
  <si>
    <t>79 x 99 x 85</t>
  </si>
  <si>
    <t>89 x 99 x 85</t>
  </si>
  <si>
    <t>99 x 99 x 85</t>
  </si>
  <si>
    <t>89 x 170 x 85</t>
  </si>
  <si>
    <t>108 x 108 x 85</t>
  </si>
  <si>
    <t>99 x 110 x 85</t>
  </si>
  <si>
    <t>99 x 205 x 85</t>
  </si>
  <si>
    <t>82 x 6 x 85</t>
  </si>
  <si>
    <t>99 x 99</t>
  </si>
  <si>
    <t>108 x 132 x 85</t>
  </si>
  <si>
    <t>AAAAAH5/jC4=</t>
  </si>
  <si>
    <t>AAAAAH5/jC8=</t>
  </si>
  <si>
    <t>AAAAAH5/jDA=</t>
  </si>
  <si>
    <t>AAAAAH5/jDE=</t>
  </si>
  <si>
    <t>AAAAAH5/jDI=</t>
  </si>
  <si>
    <t>AAAAAH5/jDM=</t>
  </si>
  <si>
    <t>AAAAAH5/jDQ=</t>
  </si>
  <si>
    <t>AAAAAH5/jDU=</t>
  </si>
  <si>
    <t>AAAAAH5/jDY=</t>
  </si>
  <si>
    <t>AAAAAH5/jDc=</t>
  </si>
  <si>
    <t>AAAAAH/3P4c=</t>
  </si>
  <si>
    <t>AAAAAE3rvQA=</t>
  </si>
  <si>
    <t>AAAAAFp33xQ=</t>
  </si>
  <si>
    <t>AAAAAH//10g=</t>
  </si>
  <si>
    <t>AAAAAHl/bwA=</t>
  </si>
  <si>
    <t>AAAAAHPzvQA=</t>
  </si>
  <si>
    <t>AAAAAHrZ98c=</t>
  </si>
  <si>
    <t>AAAAAD9/WwA=</t>
  </si>
  <si>
    <t>1(50)L                                  1(50)P</t>
  </si>
  <si>
    <t>1L                             1P</t>
  </si>
  <si>
    <t>1DL                           1DP</t>
  </si>
  <si>
    <t>1KL                                1KP</t>
  </si>
  <si>
    <t>2L                               2P</t>
  </si>
  <si>
    <t>2FL                      2FP</t>
  </si>
  <si>
    <t>KEL                        KEP</t>
  </si>
  <si>
    <t>OTML                   OTMP</t>
  </si>
  <si>
    <t>МОДУЛЬНАЯ ПРОГРАММА</t>
  </si>
  <si>
    <t>несколько вариантов угловых элементов</t>
  </si>
  <si>
    <t>ВНИМАНИЕ! ВЫБОР ЦВЕТА ОПОРЫ из образцов крашения дерева!</t>
  </si>
  <si>
    <t>ОСОБЕННОСТИ:</t>
  </si>
  <si>
    <t>ВНИМАНИЕ: в случае комплектации углового дивана с мех-мом "дельфин" для модуля 3QF ЛЕВ/ПРАВ, необходимо включить элемент угловой SSE, а 3F L/P (мех-м "выкатной") угловой элемент E</t>
  </si>
  <si>
    <t>в чехле, выполненном из кожи,                           задняя спинка сшита из кусков</t>
  </si>
  <si>
    <t>3L                                3P</t>
  </si>
  <si>
    <t>3QFL                         3QFP</t>
  </si>
  <si>
    <t>3FL                      3FP</t>
  </si>
  <si>
    <t>1(70)L                                1(70)P</t>
  </si>
  <si>
    <t>дерево</t>
  </si>
  <si>
    <t>ППУ высокоэластичный</t>
  </si>
  <si>
    <t>силикон</t>
  </si>
  <si>
    <t>в указанных модулях</t>
  </si>
  <si>
    <t>выкатной/дельфин</t>
  </si>
  <si>
    <t>171 x 99 x 85                        108 x 185</t>
  </si>
  <si>
    <t>113 x 99 x 85                        108 x 185</t>
  </si>
  <si>
    <t>142 x 99 x 85  108 x 185</t>
  </si>
  <si>
    <t>201 x 99 x 85  138 x 185 (190x120)</t>
  </si>
  <si>
    <t>143 x 99 x 85  138 x 185 (190x120)</t>
  </si>
  <si>
    <t>172 x 99 x 85  138 x 185 (190x120)</t>
  </si>
  <si>
    <t>Кресло без боковин</t>
  </si>
  <si>
    <t>Кресло без боковины лев/прав</t>
  </si>
  <si>
    <t>1-но местн. элемент удлин. прав/лев</t>
  </si>
  <si>
    <t>1-но местн. элемент приставной со скошенным углом лев/прав</t>
  </si>
  <si>
    <t>Диван 2-х местный</t>
  </si>
  <si>
    <t>Диван 2-х местн. с мех-мом (выкатной 108*185 см)</t>
  </si>
  <si>
    <t>Диван 2-х местн. без боковин</t>
  </si>
  <si>
    <t>Диван 2-х местн. с мех-мом (выкатной 108*185 см) без боковин</t>
  </si>
  <si>
    <t>Диван 2-х местн. с мех-мом (выкатной 108*185 см) без боковины лев/прав</t>
  </si>
  <si>
    <t>Диван 2-х местн. без боковины лев/прав</t>
  </si>
  <si>
    <t>Диван 3-х местн. с мех-мом (выкатной 138*185 см)</t>
  </si>
  <si>
    <t>Диван 3-х местн. без боковин</t>
  </si>
  <si>
    <t>Диван 3-х местн. с мех-мом (выкатной 138*185 см) без боковин</t>
  </si>
  <si>
    <t>Диван 3-х местн. с мех-мом (дельфин 190*120 см) без боковин</t>
  </si>
  <si>
    <t>Диван 3-х местн. с мех-мом (выкатной 138*185 см) без боковины лев/прав</t>
  </si>
  <si>
    <t>Диван 3-х местн. без боковины лев/прав</t>
  </si>
  <si>
    <t>Диван 3-х местн. с мех-мом (дельфин 190*120 см) без боковины лев/прав</t>
  </si>
  <si>
    <t>столик</t>
  </si>
  <si>
    <t>Кушетка прав/лев</t>
  </si>
  <si>
    <t>оттоманка прав/лев</t>
  </si>
  <si>
    <t>Угловой элемент</t>
  </si>
  <si>
    <t>угловой элемент (45)</t>
  </si>
  <si>
    <t>угловой элемент (прямой угол)</t>
  </si>
  <si>
    <t>ГАБАРИТЫ              (cm) шир- глуб -выс</t>
  </si>
  <si>
    <t>85-99</t>
  </si>
  <si>
    <t>КОЖА</t>
  </si>
  <si>
    <t>ТКАНЬ</t>
  </si>
  <si>
    <t>ОПИСАНИЕ</t>
  </si>
  <si>
    <t>КОМПЛЕКТАЦИЯ</t>
  </si>
  <si>
    <t>МОДУЛИ</t>
  </si>
  <si>
    <t>ВЫСОТА МЕБЕЛИ:</t>
  </si>
  <si>
    <t>ВЫСОТА СИДЕНИЯ:</t>
  </si>
  <si>
    <t>ОПОРА</t>
  </si>
  <si>
    <t>СИДЕНИЕ:</t>
  </si>
  <si>
    <t>СПИНКА:</t>
  </si>
  <si>
    <t>МОДЕЛЬ:</t>
  </si>
  <si>
    <t>Кресло</t>
  </si>
  <si>
    <t>ИСПОЛНЕНИЕ:</t>
  </si>
  <si>
    <t>МЕХАНИЗМ ТРАНСФ.:</t>
  </si>
  <si>
    <t>1 цвет</t>
  </si>
  <si>
    <t>МОДИФИКАЦИЯ</t>
  </si>
  <si>
    <t>ДА</t>
  </si>
  <si>
    <t>НЕТ</t>
  </si>
  <si>
    <t>ПРИМЕЧАНИЕ</t>
  </si>
  <si>
    <t>Выбор цвета нитки</t>
  </si>
  <si>
    <t>Различия в пошиве чехла кожа/ткань</t>
  </si>
  <si>
    <t>Ткань с рисунком</t>
  </si>
  <si>
    <t>Комбинаторика кожа/ткань</t>
  </si>
  <si>
    <t>согласно рисунка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</si>
</sst>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\ \ "/>
    <numFmt numFmtId="173" formatCode="#,###"/>
    <numFmt numFmtId="174" formatCode="#"/>
    <numFmt numFmtId="175" formatCode="_-* #,##0\ _z_ł_-;\-* #,##0\ _z_ł_-;_-* &quot;-&quot;??\ _z_ł_-;_-@_-"/>
    <numFmt numFmtId="176" formatCode="0.0"/>
    <numFmt numFmtId="177" formatCode="d/mm/yyyy"/>
    <numFmt numFmtId="178" formatCode="#,##0;\-#,##0"/>
    <numFmt numFmtId="179" formatCode="#,##0&quot;  &quot;"/>
    <numFmt numFmtId="180" formatCode="00"/>
    <numFmt numFmtId="181" formatCode="#,##0.00;\-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\ #,##0.00&quot;      &quot;;\-#,##0.00&quot;      &quot;;&quot; -&quot;#&quot;      &quot;;@\ 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 CE"/>
      <family val="2"/>
    </font>
    <font>
      <b/>
      <sz val="16"/>
      <name val="Arial"/>
      <family val="2"/>
    </font>
    <font>
      <sz val="9"/>
      <name val="Arial"/>
      <family val="2"/>
    </font>
    <font>
      <b/>
      <sz val="7"/>
      <color indexed="10"/>
      <name val="Arial"/>
      <family val="2"/>
    </font>
    <font>
      <sz val="7"/>
      <color indexed="8"/>
      <name val="Czcionka tekstu podstawowego"/>
      <family val="2"/>
    </font>
    <font>
      <b/>
      <sz val="14"/>
      <color indexed="10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/>
    </border>
    <border>
      <left style="medium"/>
      <right style="thin"/>
      <top style="medium"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30" fillId="15" borderId="0" applyNumberFormat="0" applyBorder="0" applyAlignment="0" applyProtection="0"/>
    <xf numFmtId="0" fontId="26" fillId="16" borderId="1" applyNumberFormat="0" applyAlignment="0" applyProtection="0"/>
    <xf numFmtId="0" fontId="21" fillId="17" borderId="2" applyNumberFormat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6" fontId="0" fillId="0" borderId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25" fillId="7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4" borderId="7" applyNumberFormat="0" applyFont="0" applyAlignment="0" applyProtection="0"/>
    <xf numFmtId="0" fontId="18" fillId="16" borderId="8" applyNumberFormat="0" applyAlignment="0" applyProtection="0"/>
    <xf numFmtId="0" fontId="29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6" borderId="8" applyNumberFormat="0" applyAlignment="0" applyProtection="0"/>
    <xf numFmtId="0" fontId="26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1" fillId="17" borderId="2" applyNumberFormat="0" applyAlignment="0" applyProtection="0"/>
    <xf numFmtId="0" fontId="2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0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175" fontId="9" fillId="0" borderId="0" xfId="12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0" fillId="0" borderId="0" xfId="81">
      <alignment/>
      <protection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82">
      <alignment/>
      <protection/>
    </xf>
    <xf numFmtId="0" fontId="0" fillId="0" borderId="0" xfId="83">
      <alignment/>
      <protection/>
    </xf>
    <xf numFmtId="0" fontId="0" fillId="0" borderId="0" xfId="84">
      <alignment/>
      <protection/>
    </xf>
    <xf numFmtId="0" fontId="0" fillId="0" borderId="0" xfId="85">
      <alignment/>
      <protection/>
    </xf>
    <xf numFmtId="0" fontId="0" fillId="0" borderId="0" xfId="86">
      <alignment/>
      <protection/>
    </xf>
    <xf numFmtId="0" fontId="0" fillId="0" borderId="0" xfId="87">
      <alignment/>
      <protection/>
    </xf>
    <xf numFmtId="0" fontId="0" fillId="0" borderId="0" xfId="88">
      <alignment/>
      <protection/>
    </xf>
    <xf numFmtId="0" fontId="5" fillId="0" borderId="0" xfId="89">
      <alignment/>
      <protection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3" fontId="14" fillId="2" borderId="10" xfId="0" applyNumberFormat="1" applyFont="1" applyFill="1" applyBorder="1" applyAlignment="1">
      <alignment horizontal="center" vertical="center"/>
    </xf>
    <xf numFmtId="3" fontId="14" fillId="7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/>
    </xf>
    <xf numFmtId="0" fontId="14" fillId="19" borderId="15" xfId="0" applyFont="1" applyFill="1" applyBorder="1" applyAlignment="1">
      <alignment horizontal="center" vertical="center"/>
    </xf>
    <xf numFmtId="0" fontId="14" fillId="19" borderId="1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1" fillId="19" borderId="17" xfId="0" applyFont="1" applyFill="1" applyBorder="1" applyAlignment="1">
      <alignment horizontal="center" vertical="center"/>
    </xf>
    <xf numFmtId="0" fontId="11" fillId="19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/>
    </xf>
    <xf numFmtId="0" fontId="14" fillId="18" borderId="10" xfId="0" applyFont="1" applyFill="1" applyBorder="1" applyAlignment="1">
      <alignment horizontal="center" vertical="center"/>
    </xf>
    <xf numFmtId="0" fontId="15" fillId="19" borderId="22" xfId="0" applyFont="1" applyFill="1" applyBorder="1" applyAlignment="1">
      <alignment horizontal="center" vertical="center"/>
    </xf>
    <xf numFmtId="0" fontId="15" fillId="19" borderId="23" xfId="0" applyFont="1" applyFill="1" applyBorder="1" applyAlignment="1">
      <alignment horizontal="center" vertical="center"/>
    </xf>
    <xf numFmtId="0" fontId="15" fillId="19" borderId="24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2" fillId="19" borderId="17" xfId="0" applyFont="1" applyFill="1" applyBorder="1" applyAlignment="1">
      <alignment horizontal="center" vertical="center" wrapText="1"/>
    </xf>
    <xf numFmtId="0" fontId="12" fillId="19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11" fillId="19" borderId="26" xfId="0" applyFont="1" applyFill="1" applyBorder="1" applyAlignment="1">
      <alignment horizontal="center" vertical="center"/>
    </xf>
    <xf numFmtId="0" fontId="11" fillId="19" borderId="14" xfId="0" applyFont="1" applyFill="1" applyBorder="1" applyAlignment="1">
      <alignment horizontal="center" vertical="center"/>
    </xf>
    <xf numFmtId="0" fontId="11" fillId="19" borderId="17" xfId="0" applyFont="1" applyFill="1" applyBorder="1" applyAlignment="1">
      <alignment horizontal="center" vertical="center" wrapText="1"/>
    </xf>
    <xf numFmtId="0" fontId="13" fillId="19" borderId="18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172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ziesiętny 2" xfId="60"/>
    <cellStyle name="Dziesiętny 3" xfId="61"/>
    <cellStyle name="Dziesiętny 4" xfId="62"/>
    <cellStyle name="Dziesiętny 4 2" xfId="63"/>
    <cellStyle name="Dziesiętny 4_2015_01_01 LUCIANO GALA EN (PLN)" xfId="64"/>
    <cellStyle name="Excel Built-in Normal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rmalny 10" xfId="75"/>
    <cellStyle name="Normalny 11" xfId="76"/>
    <cellStyle name="Normalny 12" xfId="77"/>
    <cellStyle name="Normalny 13" xfId="78"/>
    <cellStyle name="Normalny 13 2" xfId="79"/>
    <cellStyle name="Normalny 13_2015_02_01 MEBEL BOS_SPIN PL (PLN)" xfId="80"/>
    <cellStyle name="Normalny 2" xfId="81"/>
    <cellStyle name="Normalny 3" xfId="82"/>
    <cellStyle name="Normalny 4" xfId="83"/>
    <cellStyle name="Normalny 5" xfId="84"/>
    <cellStyle name="Normalny 6" xfId="85"/>
    <cellStyle name="Normalny 7" xfId="86"/>
    <cellStyle name="Normalny 8" xfId="87"/>
    <cellStyle name="Normalny 9" xfId="88"/>
    <cellStyle name="Normalny_Arkusz1" xfId="89"/>
    <cellStyle name="Note" xfId="90"/>
    <cellStyle name="Output" xfId="91"/>
    <cellStyle name="Title" xfId="92"/>
    <cellStyle name="Total" xfId="93"/>
    <cellStyle name="Warning Text" xfId="94"/>
    <cellStyle name="Акцент1" xfId="95"/>
    <cellStyle name="Акцент2" xfId="96"/>
    <cellStyle name="Акцент3" xfId="97"/>
    <cellStyle name="Акцент4" xfId="98"/>
    <cellStyle name="Акцент5" xfId="99"/>
    <cellStyle name="Акцент6" xfId="100"/>
    <cellStyle name="Ввод " xfId="101"/>
    <cellStyle name="Вывод" xfId="102"/>
    <cellStyle name="Вычисление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Плохой" xfId="114"/>
    <cellStyle name="Пояснение" xfId="115"/>
    <cellStyle name="Примечание" xfId="116"/>
    <cellStyle name="Percent" xfId="117"/>
    <cellStyle name="Связанная ячейка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Relationship Id="rId11" Type="http://schemas.openxmlformats.org/officeDocument/2006/relationships/image" Target="../media/image13.emf" /><Relationship Id="rId12" Type="http://schemas.openxmlformats.org/officeDocument/2006/relationships/image" Target="../media/image14.emf" /><Relationship Id="rId13" Type="http://schemas.openxmlformats.org/officeDocument/2006/relationships/image" Target="../media/image15.emf" /><Relationship Id="rId14" Type="http://schemas.openxmlformats.org/officeDocument/2006/relationships/image" Target="../media/image16.emf" /><Relationship Id="rId15" Type="http://schemas.openxmlformats.org/officeDocument/2006/relationships/image" Target="../media/image17.emf" /><Relationship Id="rId16" Type="http://schemas.openxmlformats.org/officeDocument/2006/relationships/image" Target="../media/image18.emf" /><Relationship Id="rId17" Type="http://schemas.openxmlformats.org/officeDocument/2006/relationships/image" Target="../media/image19.emf" /><Relationship Id="rId18" Type="http://schemas.openxmlformats.org/officeDocument/2006/relationships/image" Target="../media/image20.emf" /><Relationship Id="rId19" Type="http://schemas.openxmlformats.org/officeDocument/2006/relationships/image" Target="../media/image21.emf" /><Relationship Id="rId20" Type="http://schemas.openxmlformats.org/officeDocument/2006/relationships/image" Target="../media/image1.png" /><Relationship Id="rId21" Type="http://schemas.openxmlformats.org/officeDocument/2006/relationships/image" Target="../media/image2.emf" /><Relationship Id="rId22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3</xdr:row>
      <xdr:rowOff>0</xdr:rowOff>
    </xdr:from>
    <xdr:to>
      <xdr:col>7</xdr:col>
      <xdr:colOff>390525</xdr:colOff>
      <xdr:row>11</xdr:row>
      <xdr:rowOff>95250</xdr:rowOff>
    </xdr:to>
    <xdr:pic>
      <xdr:nvPicPr>
        <xdr:cNvPr id="1" name="Obraz 12" descr="camino.jpg"/>
        <xdr:cNvPicPr preferRelativeResize="1">
          <a:picLocks noChangeAspect="1"/>
        </xdr:cNvPicPr>
      </xdr:nvPicPr>
      <xdr:blipFill>
        <a:blip r:embed="rId1"/>
        <a:srcRect l="12785" r="10501"/>
        <a:stretch>
          <a:fillRect/>
        </a:stretch>
      </xdr:blipFill>
      <xdr:spPr>
        <a:xfrm>
          <a:off x="3848100" y="571500"/>
          <a:ext cx="25812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180975</xdr:rowOff>
    </xdr:from>
    <xdr:to>
      <xdr:col>0</xdr:col>
      <xdr:colOff>1200150</xdr:colOff>
      <xdr:row>22</xdr:row>
      <xdr:rowOff>180975</xdr:rowOff>
    </xdr:to>
    <xdr:pic>
      <xdr:nvPicPr>
        <xdr:cNvPr id="2" name="Obraz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53100"/>
          <a:ext cx="1200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9525</xdr:rowOff>
    </xdr:from>
    <xdr:to>
      <xdr:col>0</xdr:col>
      <xdr:colOff>1219200</xdr:colOff>
      <xdr:row>17</xdr:row>
      <xdr:rowOff>9525</xdr:rowOff>
    </xdr:to>
    <xdr:pic>
      <xdr:nvPicPr>
        <xdr:cNvPr id="3" name="Obraz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676650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23</xdr:row>
      <xdr:rowOff>200025</xdr:rowOff>
    </xdr:from>
    <xdr:to>
      <xdr:col>0</xdr:col>
      <xdr:colOff>1114425</xdr:colOff>
      <xdr:row>25</xdr:row>
      <xdr:rowOff>9525</xdr:rowOff>
    </xdr:to>
    <xdr:pic>
      <xdr:nvPicPr>
        <xdr:cNvPr id="4" name="Obraz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6534150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28</xdr:row>
      <xdr:rowOff>28575</xdr:rowOff>
    </xdr:from>
    <xdr:to>
      <xdr:col>0</xdr:col>
      <xdr:colOff>952500</xdr:colOff>
      <xdr:row>29</xdr:row>
      <xdr:rowOff>95250</xdr:rowOff>
    </xdr:to>
    <xdr:pic>
      <xdr:nvPicPr>
        <xdr:cNvPr id="5" name="Obraz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8267700"/>
          <a:ext cx="752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26</xdr:row>
      <xdr:rowOff>38100</xdr:rowOff>
    </xdr:from>
    <xdr:to>
      <xdr:col>0</xdr:col>
      <xdr:colOff>971550</xdr:colOff>
      <xdr:row>27</xdr:row>
      <xdr:rowOff>38100</xdr:rowOff>
    </xdr:to>
    <xdr:pic>
      <xdr:nvPicPr>
        <xdr:cNvPr id="6" name="Obraz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7515225"/>
          <a:ext cx="752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30</xdr:row>
      <xdr:rowOff>28575</xdr:rowOff>
    </xdr:from>
    <xdr:to>
      <xdr:col>0</xdr:col>
      <xdr:colOff>990600</xdr:colOff>
      <xdr:row>31</xdr:row>
      <xdr:rowOff>19050</xdr:rowOff>
    </xdr:to>
    <xdr:pic>
      <xdr:nvPicPr>
        <xdr:cNvPr id="7" name="Obraz 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" y="902970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32</xdr:row>
      <xdr:rowOff>28575</xdr:rowOff>
    </xdr:from>
    <xdr:to>
      <xdr:col>0</xdr:col>
      <xdr:colOff>1104900</xdr:colOff>
      <xdr:row>33</xdr:row>
      <xdr:rowOff>57150</xdr:rowOff>
    </xdr:to>
    <xdr:pic>
      <xdr:nvPicPr>
        <xdr:cNvPr id="8" name="Obraz 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9886950"/>
          <a:ext cx="962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34</xdr:row>
      <xdr:rowOff>142875</xdr:rowOff>
    </xdr:from>
    <xdr:to>
      <xdr:col>0</xdr:col>
      <xdr:colOff>1133475</xdr:colOff>
      <xdr:row>35</xdr:row>
      <xdr:rowOff>228600</xdr:rowOff>
    </xdr:to>
    <xdr:pic>
      <xdr:nvPicPr>
        <xdr:cNvPr id="9" name="Obraz 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10763250"/>
          <a:ext cx="1019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37</xdr:row>
      <xdr:rowOff>66675</xdr:rowOff>
    </xdr:from>
    <xdr:to>
      <xdr:col>0</xdr:col>
      <xdr:colOff>1133475</xdr:colOff>
      <xdr:row>38</xdr:row>
      <xdr:rowOff>171450</xdr:rowOff>
    </xdr:to>
    <xdr:pic>
      <xdr:nvPicPr>
        <xdr:cNvPr id="10" name="Obraz 5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" y="11830050"/>
          <a:ext cx="1028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43</xdr:row>
      <xdr:rowOff>85725</xdr:rowOff>
    </xdr:from>
    <xdr:to>
      <xdr:col>0</xdr:col>
      <xdr:colOff>419100</xdr:colOff>
      <xdr:row>44</xdr:row>
      <xdr:rowOff>85725</xdr:rowOff>
    </xdr:to>
    <xdr:pic>
      <xdr:nvPicPr>
        <xdr:cNvPr id="11" name="Obraz 5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14135100"/>
          <a:ext cx="371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43</xdr:row>
      <xdr:rowOff>95250</xdr:rowOff>
    </xdr:from>
    <xdr:to>
      <xdr:col>0</xdr:col>
      <xdr:colOff>809625</xdr:colOff>
      <xdr:row>44</xdr:row>
      <xdr:rowOff>95250</xdr:rowOff>
    </xdr:to>
    <xdr:pic>
      <xdr:nvPicPr>
        <xdr:cNvPr id="12" name="Obraz 5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0525" y="14144625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43</xdr:row>
      <xdr:rowOff>76200</xdr:rowOff>
    </xdr:from>
    <xdr:to>
      <xdr:col>0</xdr:col>
      <xdr:colOff>1181100</xdr:colOff>
      <xdr:row>44</xdr:row>
      <xdr:rowOff>180975</xdr:rowOff>
    </xdr:to>
    <xdr:pic>
      <xdr:nvPicPr>
        <xdr:cNvPr id="13" name="Obraz 5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04850" y="1412557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41</xdr:row>
      <xdr:rowOff>76200</xdr:rowOff>
    </xdr:from>
    <xdr:to>
      <xdr:col>0</xdr:col>
      <xdr:colOff>542925</xdr:colOff>
      <xdr:row>42</xdr:row>
      <xdr:rowOff>219075</xdr:rowOff>
    </xdr:to>
    <xdr:pic>
      <xdr:nvPicPr>
        <xdr:cNvPr id="14" name="Obraz 5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4300" y="13363575"/>
          <a:ext cx="428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41</xdr:row>
      <xdr:rowOff>28575</xdr:rowOff>
    </xdr:from>
    <xdr:to>
      <xdr:col>0</xdr:col>
      <xdr:colOff>1085850</xdr:colOff>
      <xdr:row>42</xdr:row>
      <xdr:rowOff>304800</xdr:rowOff>
    </xdr:to>
    <xdr:pic>
      <xdr:nvPicPr>
        <xdr:cNvPr id="15" name="Obraz 5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5800" y="13315950"/>
          <a:ext cx="400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18</xdr:row>
      <xdr:rowOff>95250</xdr:rowOff>
    </xdr:from>
    <xdr:to>
      <xdr:col>0</xdr:col>
      <xdr:colOff>495300</xdr:colOff>
      <xdr:row>19</xdr:row>
      <xdr:rowOff>142875</xdr:rowOff>
    </xdr:to>
    <xdr:pic>
      <xdr:nvPicPr>
        <xdr:cNvPr id="16" name="Obraz 5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575" y="4524375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18</xdr:row>
      <xdr:rowOff>114300</xdr:rowOff>
    </xdr:from>
    <xdr:to>
      <xdr:col>0</xdr:col>
      <xdr:colOff>781050</xdr:colOff>
      <xdr:row>19</xdr:row>
      <xdr:rowOff>123825</xdr:rowOff>
    </xdr:to>
    <xdr:pic>
      <xdr:nvPicPr>
        <xdr:cNvPr id="17" name="Obraz 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7200" y="4543425"/>
          <a:ext cx="323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838200</xdr:colOff>
      <xdr:row>18</xdr:row>
      <xdr:rowOff>104775</xdr:rowOff>
    </xdr:from>
    <xdr:to>
      <xdr:col>0</xdr:col>
      <xdr:colOff>1209675</xdr:colOff>
      <xdr:row>19</xdr:row>
      <xdr:rowOff>133350</xdr:rowOff>
    </xdr:to>
    <xdr:pic>
      <xdr:nvPicPr>
        <xdr:cNvPr id="18" name="Obraz 6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38200" y="4533900"/>
          <a:ext cx="371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12</xdr:row>
      <xdr:rowOff>57150</xdr:rowOff>
    </xdr:from>
    <xdr:to>
      <xdr:col>8</xdr:col>
      <xdr:colOff>361950</xdr:colOff>
      <xdr:row>12</xdr:row>
      <xdr:rowOff>409575</xdr:rowOff>
    </xdr:to>
    <xdr:pic>
      <xdr:nvPicPr>
        <xdr:cNvPr id="19" name="Obraz 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10200" y="2343150"/>
          <a:ext cx="1704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0</xdr:row>
      <xdr:rowOff>38100</xdr:rowOff>
    </xdr:from>
    <xdr:to>
      <xdr:col>7</xdr:col>
      <xdr:colOff>581025</xdr:colOff>
      <xdr:row>1</xdr:row>
      <xdr:rowOff>171450</xdr:rowOff>
    </xdr:to>
    <xdr:pic>
      <xdr:nvPicPr>
        <xdr:cNvPr id="20" name="Obraz 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10200" y="38100"/>
          <a:ext cx="1209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0</xdr:row>
      <xdr:rowOff>180975</xdr:rowOff>
    </xdr:from>
    <xdr:to>
      <xdr:col>3</xdr:col>
      <xdr:colOff>266700</xdr:colOff>
      <xdr:row>2</xdr:row>
      <xdr:rowOff>142875</xdr:rowOff>
    </xdr:to>
    <xdr:pic>
      <xdr:nvPicPr>
        <xdr:cNvPr id="21" name="Obraz 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247900" y="180975"/>
          <a:ext cx="1228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1562100</xdr:colOff>
      <xdr:row>53</xdr:row>
      <xdr:rowOff>76200</xdr:rowOff>
    </xdr:from>
    <xdr:to>
      <xdr:col>8</xdr:col>
      <xdr:colOff>352425</xdr:colOff>
      <xdr:row>60</xdr:row>
      <xdr:rowOff>38100</xdr:rowOff>
    </xdr:to>
    <xdr:pic>
      <xdr:nvPicPr>
        <xdr:cNvPr id="22" name="Obraz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72025" y="17030700"/>
          <a:ext cx="2333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%20GALA%20&#1056;&#1086;&#1079;&#1085;&#1080;&#1094;&#1072;%2016.03.2015%20&#1075;.%20&#1088;&#1091;&#1073;&#1083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 СТРАНИЦА"/>
      <sheetName val="ARGENTO"/>
      <sheetName val="Barista"/>
      <sheetName val="Belluno"/>
      <sheetName val="Bibbi"/>
      <sheetName val="Bono"/>
      <sheetName val="Camino"/>
      <sheetName val="Coco"/>
      <sheetName val="Cortado"/>
      <sheetName val="Davaro"/>
      <sheetName val="Fino"/>
      <sheetName val="Fotele"/>
      <sheetName val="Ginger"/>
      <sheetName val="Grant"/>
      <sheetName val="Leo"/>
      <sheetName val="LUCIANO"/>
      <sheetName val="Malpensa"/>
      <sheetName val="Martin"/>
      <sheetName val="Mello"/>
      <sheetName val="Megan"/>
      <sheetName val="Morena"/>
      <sheetName val="Morris"/>
      <sheetName val="Move"/>
      <sheetName val="Notte"/>
      <sheetName val="Planet"/>
      <sheetName val="Play"/>
      <sheetName val="Pop"/>
      <sheetName val="Re-Lax"/>
      <sheetName val="Siena"/>
      <sheetName val="Sono "/>
      <sheetName val="Stella"/>
      <sheetName val="SPIN"/>
      <sheetName val="Tivoli"/>
      <sheetName val="Tunis"/>
      <sheetName val="Vito"/>
      <sheetName val="Velvet"/>
      <sheetName val="Yuppie"/>
      <sheetName val="DV-IDENTITY-0"/>
      <sheetName val="ПУФЫ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53"/>
  <sheetViews>
    <sheetView tabSelected="1" zoomScalePageLayoutView="0" workbookViewId="0" topLeftCell="A44">
      <selection activeCell="D58" sqref="D58"/>
    </sheetView>
  </sheetViews>
  <sheetFormatPr defaultColWidth="9.00390625" defaultRowHeight="12.75"/>
  <cols>
    <col min="1" max="1" width="20.7109375" style="4" customWidth="1"/>
    <col min="2" max="2" width="13.7109375" style="4" customWidth="1"/>
    <col min="3" max="3" width="13.7109375" style="2" customWidth="1"/>
    <col min="4" max="4" width="33.00390625" style="7" customWidth="1"/>
    <col min="5" max="5" width="9.421875" style="2" hidden="1" customWidth="1"/>
    <col min="6" max="6" width="9.421875" style="2" customWidth="1"/>
    <col min="7" max="7" width="10.7109375" style="0" hidden="1" customWidth="1"/>
    <col min="8" max="9" width="10.7109375" style="0" customWidth="1"/>
    <col min="10" max="10" width="7.7109375" style="0" hidden="1" customWidth="1"/>
  </cols>
  <sheetData>
    <row r="1" ht="15" customHeight="1"/>
    <row r="2" spans="1:4" ht="15" customHeight="1">
      <c r="A2" s="32" t="s">
        <v>122</v>
      </c>
      <c r="B2" s="31" t="s">
        <v>15</v>
      </c>
      <c r="D2" s="37" t="s">
        <v>66</v>
      </c>
    </row>
    <row r="3" spans="1:3" ht="15" customHeight="1">
      <c r="A3" s="32" t="s">
        <v>124</v>
      </c>
      <c r="B3" s="1" t="s">
        <v>78</v>
      </c>
      <c r="C3"/>
    </row>
    <row r="4" spans="1:3" ht="15" customHeight="1">
      <c r="A4" s="32" t="s">
        <v>120</v>
      </c>
      <c r="B4" s="1" t="s">
        <v>77</v>
      </c>
      <c r="C4"/>
    </row>
    <row r="5" spans="1:3" ht="15" customHeight="1">
      <c r="A5" s="32" t="s">
        <v>121</v>
      </c>
      <c r="B5" s="1" t="s">
        <v>78</v>
      </c>
      <c r="C5"/>
    </row>
    <row r="6" spans="1:3" ht="15" customHeight="1">
      <c r="A6" s="32" t="s">
        <v>125</v>
      </c>
      <c r="B6" s="1" t="s">
        <v>80</v>
      </c>
      <c r="C6"/>
    </row>
    <row r="7" spans="1:3" ht="15" customHeight="1">
      <c r="A7" s="32" t="s">
        <v>119</v>
      </c>
      <c r="B7" s="1" t="s">
        <v>76</v>
      </c>
      <c r="C7"/>
    </row>
    <row r="8" spans="1:3" ht="15" customHeight="1">
      <c r="A8" s="32" t="s">
        <v>118</v>
      </c>
      <c r="B8" s="33">
        <v>48</v>
      </c>
      <c r="C8"/>
    </row>
    <row r="9" spans="1:3" ht="15" customHeight="1">
      <c r="A9" s="32" t="s">
        <v>117</v>
      </c>
      <c r="B9" s="33" t="s">
        <v>111</v>
      </c>
      <c r="C9" s="36"/>
    </row>
    <row r="10" spans="1:3" ht="15" customHeight="1">
      <c r="A10" s="32" t="s">
        <v>2</v>
      </c>
      <c r="B10" s="1" t="s">
        <v>79</v>
      </c>
      <c r="C10"/>
    </row>
    <row r="11" spans="1:3" ht="15" customHeight="1">
      <c r="A11" s="32" t="s">
        <v>69</v>
      </c>
      <c r="B11" s="1" t="s">
        <v>67</v>
      </c>
      <c r="C11"/>
    </row>
    <row r="12" spans="4:9" ht="15" customHeight="1">
      <c r="D12" s="5"/>
      <c r="E12" s="3"/>
      <c r="F12" s="3"/>
      <c r="G12" s="1"/>
      <c r="H12" s="1"/>
      <c r="I12" s="1"/>
    </row>
    <row r="13" spans="1:9" ht="47.25" customHeight="1" thickBot="1">
      <c r="A13" s="32"/>
      <c r="B13" s="60" t="s">
        <v>70</v>
      </c>
      <c r="C13" s="60"/>
      <c r="D13" s="60"/>
      <c r="E13" s="3"/>
      <c r="F13" s="3"/>
      <c r="G13" s="1"/>
      <c r="H13" s="1"/>
      <c r="I13" s="1"/>
    </row>
    <row r="14" spans="1:10" ht="12.75" customHeight="1">
      <c r="A14" s="68" t="s">
        <v>116</v>
      </c>
      <c r="B14" s="49" t="s">
        <v>115</v>
      </c>
      <c r="C14" s="70" t="s">
        <v>110</v>
      </c>
      <c r="D14" s="62" t="s">
        <v>114</v>
      </c>
      <c r="E14" s="57" t="s">
        <v>112</v>
      </c>
      <c r="F14" s="58"/>
      <c r="G14" s="58"/>
      <c r="H14" s="59"/>
      <c r="I14" s="56" t="s">
        <v>113</v>
      </c>
      <c r="J14" s="46" t="s">
        <v>113</v>
      </c>
    </row>
    <row r="15" spans="1:10" ht="18.75" customHeight="1" thickBot="1">
      <c r="A15" s="69"/>
      <c r="B15" s="50"/>
      <c r="C15" s="71"/>
      <c r="D15" s="63"/>
      <c r="E15" s="45" t="s">
        <v>4</v>
      </c>
      <c r="F15" s="45" t="s">
        <v>4</v>
      </c>
      <c r="G15" s="45" t="s">
        <v>5</v>
      </c>
      <c r="H15" s="45" t="s">
        <v>5</v>
      </c>
      <c r="I15" s="56"/>
      <c r="J15" s="47"/>
    </row>
    <row r="16" spans="1:10" ht="30" customHeight="1">
      <c r="A16" s="51"/>
      <c r="B16" s="44" t="s">
        <v>22</v>
      </c>
      <c r="C16" s="43" t="s">
        <v>24</v>
      </c>
      <c r="D16" s="42" t="s">
        <v>123</v>
      </c>
      <c r="E16" s="38">
        <v>34055.73689463</v>
      </c>
      <c r="F16" s="38">
        <f>E16*1.45</f>
        <v>49380.81849721349</v>
      </c>
      <c r="G16" s="38">
        <v>37469.56985738999</v>
      </c>
      <c r="H16" s="38">
        <f>G16*1.45</f>
        <v>54330.876293215486</v>
      </c>
      <c r="I16" s="38">
        <f>J16*1.45</f>
        <v>37843.990246854</v>
      </c>
      <c r="J16" s="39">
        <v>26099.30361852</v>
      </c>
    </row>
    <row r="17" spans="1:10" ht="30" customHeight="1">
      <c r="A17" s="52"/>
      <c r="B17" s="44">
        <v>1</v>
      </c>
      <c r="C17" s="43" t="s">
        <v>25</v>
      </c>
      <c r="D17" s="42" t="s">
        <v>123</v>
      </c>
      <c r="E17" s="38">
        <v>34606.35511442999</v>
      </c>
      <c r="F17" s="38">
        <f aca="true" t="shared" si="0" ref="F17:F47">E17*1.45</f>
        <v>50179.21491592349</v>
      </c>
      <c r="G17" s="38">
        <v>38075.24989917</v>
      </c>
      <c r="H17" s="38">
        <f aca="true" t="shared" si="1" ref="H17:H47">G17*1.45</f>
        <v>55209.112353796496</v>
      </c>
      <c r="I17" s="38">
        <f aca="true" t="shared" si="2" ref="I17:I47">J17*1.45</f>
        <v>39081.5046958545</v>
      </c>
      <c r="J17" s="39">
        <v>26952.76185921</v>
      </c>
    </row>
    <row r="18" spans="1:10" ht="30" customHeight="1">
      <c r="A18" s="53"/>
      <c r="B18" s="44" t="s">
        <v>23</v>
      </c>
      <c r="C18" s="42" t="s">
        <v>26</v>
      </c>
      <c r="D18" s="42" t="s">
        <v>123</v>
      </c>
      <c r="E18" s="38">
        <v>36230.67886284</v>
      </c>
      <c r="F18" s="38">
        <f t="shared" si="0"/>
        <v>52534.484351118</v>
      </c>
      <c r="G18" s="38">
        <v>39864.759113520005</v>
      </c>
      <c r="H18" s="38">
        <f t="shared" si="1"/>
        <v>57803.90071460401</v>
      </c>
      <c r="I18" s="38">
        <f t="shared" si="2"/>
        <v>41676.293056662</v>
      </c>
      <c r="J18" s="39">
        <v>28742.271073559998</v>
      </c>
    </row>
    <row r="19" spans="1:10" s="6" customFormat="1" ht="30" customHeight="1">
      <c r="A19" s="54"/>
      <c r="B19" s="44" t="s">
        <v>16</v>
      </c>
      <c r="C19" s="41" t="s">
        <v>27</v>
      </c>
      <c r="D19" s="42" t="s">
        <v>87</v>
      </c>
      <c r="E19" s="38">
        <v>16518.546593999996</v>
      </c>
      <c r="F19" s="38">
        <f t="shared" si="0"/>
        <v>23951.892561299992</v>
      </c>
      <c r="G19" s="38">
        <v>18197.932164389997</v>
      </c>
      <c r="H19" s="38">
        <f t="shared" si="1"/>
        <v>26387.001638365495</v>
      </c>
      <c r="I19" s="38">
        <f t="shared" si="2"/>
        <v>19281.273511846495</v>
      </c>
      <c r="J19" s="39">
        <v>13297.430008169997</v>
      </c>
    </row>
    <row r="20" spans="1:10" s="6" customFormat="1" ht="30" customHeight="1">
      <c r="A20" s="55"/>
      <c r="B20" s="44" t="s">
        <v>9</v>
      </c>
      <c r="C20" s="41" t="s">
        <v>28</v>
      </c>
      <c r="D20" s="42" t="s">
        <v>87</v>
      </c>
      <c r="E20" s="38">
        <v>18142.870342410006</v>
      </c>
      <c r="F20" s="38">
        <f t="shared" si="0"/>
        <v>26307.16199649451</v>
      </c>
      <c r="G20" s="38">
        <v>19959.910467750004</v>
      </c>
      <c r="H20" s="38">
        <f t="shared" si="1"/>
        <v>28941.870178237503</v>
      </c>
      <c r="I20" s="38">
        <f t="shared" si="2"/>
        <v>19919.990646814505</v>
      </c>
      <c r="J20" s="39">
        <v>13737.924584010003</v>
      </c>
    </row>
    <row r="21" spans="1:10" ht="30" customHeight="1">
      <c r="A21" s="55"/>
      <c r="B21" s="44" t="s">
        <v>10</v>
      </c>
      <c r="C21" s="41" t="s">
        <v>29</v>
      </c>
      <c r="D21" s="42" t="s">
        <v>87</v>
      </c>
      <c r="E21" s="38">
        <v>19546.9468029</v>
      </c>
      <c r="F21" s="38">
        <f t="shared" si="0"/>
        <v>28343.072864205</v>
      </c>
      <c r="G21" s="38">
        <v>21501.641483189997</v>
      </c>
      <c r="H21" s="38">
        <f t="shared" si="1"/>
        <v>31177.380150625493</v>
      </c>
      <c r="I21" s="38">
        <f t="shared" si="2"/>
        <v>23073.656500719007</v>
      </c>
      <c r="J21" s="39">
        <v>15912.866552220004</v>
      </c>
    </row>
    <row r="22" spans="1:10" ht="30" customHeight="1">
      <c r="A22" s="64"/>
      <c r="B22" s="43" t="s">
        <v>58</v>
      </c>
      <c r="C22" s="41" t="s">
        <v>30</v>
      </c>
      <c r="D22" s="42" t="s">
        <v>88</v>
      </c>
      <c r="E22" s="38">
        <v>25135.721733870003</v>
      </c>
      <c r="F22" s="38">
        <f t="shared" si="0"/>
        <v>36446.796514111506</v>
      </c>
      <c r="G22" s="38">
        <v>27641.03463396</v>
      </c>
      <c r="H22" s="38">
        <f t="shared" si="1"/>
        <v>40079.500219242</v>
      </c>
      <c r="I22" s="38">
        <f t="shared" si="2"/>
        <v>29899.945880689498</v>
      </c>
      <c r="J22" s="39">
        <v>20620.65233151</v>
      </c>
    </row>
    <row r="23" spans="1:10" ht="30" customHeight="1">
      <c r="A23" s="65"/>
      <c r="B23" s="43" t="s">
        <v>59</v>
      </c>
      <c r="C23" s="41" t="s">
        <v>31</v>
      </c>
      <c r="D23" s="42" t="s">
        <v>88</v>
      </c>
      <c r="E23" s="38">
        <v>26319.550906440007</v>
      </c>
      <c r="F23" s="38">
        <f t="shared" si="0"/>
        <v>38163.34881433801</v>
      </c>
      <c r="G23" s="38">
        <v>28934.987450489993</v>
      </c>
      <c r="H23" s="38">
        <f t="shared" si="1"/>
        <v>41955.73180321049</v>
      </c>
      <c r="I23" s="38">
        <f t="shared" si="2"/>
        <v>31376.979255303006</v>
      </c>
      <c r="J23" s="39">
        <v>21639.296038140004</v>
      </c>
    </row>
    <row r="24" spans="1:10" ht="30" customHeight="1">
      <c r="A24" s="65"/>
      <c r="B24" s="43" t="s">
        <v>75</v>
      </c>
      <c r="C24" s="41" t="s">
        <v>32</v>
      </c>
      <c r="D24" s="42" t="s">
        <v>88</v>
      </c>
      <c r="E24" s="38">
        <v>28907.456539499995</v>
      </c>
      <c r="F24" s="38">
        <f t="shared" si="0"/>
        <v>41915.811982274994</v>
      </c>
      <c r="G24" s="38">
        <v>31798.202193449997</v>
      </c>
      <c r="H24" s="38">
        <f t="shared" si="1"/>
        <v>46107.39318050249</v>
      </c>
      <c r="I24" s="38">
        <f t="shared" si="2"/>
        <v>32295.135136819496</v>
      </c>
      <c r="J24" s="39">
        <v>22272.50699091</v>
      </c>
    </row>
    <row r="25" spans="1:10" ht="30" customHeight="1">
      <c r="A25" s="65"/>
      <c r="B25" s="43" t="s">
        <v>60</v>
      </c>
      <c r="C25" s="41" t="s">
        <v>33</v>
      </c>
      <c r="D25" s="42" t="s">
        <v>89</v>
      </c>
      <c r="E25" s="38">
        <v>38240.435365109995</v>
      </c>
      <c r="F25" s="38">
        <f t="shared" si="0"/>
        <v>55448.63127940949</v>
      </c>
      <c r="G25" s="38">
        <v>42067.231992720015</v>
      </c>
      <c r="H25" s="38">
        <f t="shared" si="1"/>
        <v>60997.48638944402</v>
      </c>
      <c r="I25" s="38">
        <f t="shared" si="2"/>
        <v>43792.04356624351</v>
      </c>
      <c r="J25" s="39">
        <v>30201.40935603001</v>
      </c>
    </row>
    <row r="26" spans="1:10" s="6" customFormat="1" ht="30" customHeight="1">
      <c r="A26" s="66"/>
      <c r="B26" s="43" t="s">
        <v>61</v>
      </c>
      <c r="C26" s="41" t="s">
        <v>39</v>
      </c>
      <c r="D26" s="42" t="s">
        <v>90</v>
      </c>
      <c r="E26" s="38">
        <v>31275.11488464</v>
      </c>
      <c r="F26" s="38">
        <f t="shared" si="0"/>
        <v>45348.916582727994</v>
      </c>
      <c r="G26" s="38">
        <v>34413.6387375</v>
      </c>
      <c r="H26" s="38">
        <f t="shared" si="1"/>
        <v>49899.77616937499</v>
      </c>
      <c r="I26" s="38">
        <f t="shared" si="2"/>
        <v>36327.037051305</v>
      </c>
      <c r="J26" s="39">
        <v>25053.1290009</v>
      </c>
    </row>
    <row r="27" spans="1:10" s="6" customFormat="1" ht="30" customHeight="1">
      <c r="A27" s="72"/>
      <c r="B27" s="44">
        <v>2</v>
      </c>
      <c r="C27" s="48" t="s">
        <v>81</v>
      </c>
      <c r="D27" s="41" t="s">
        <v>91</v>
      </c>
      <c r="E27" s="38">
        <v>47821.19238962999</v>
      </c>
      <c r="F27" s="38">
        <f t="shared" si="0"/>
        <v>69340.72896496349</v>
      </c>
      <c r="G27" s="38">
        <v>52584.0399909</v>
      </c>
      <c r="H27" s="38">
        <f t="shared" si="1"/>
        <v>76246.857986805</v>
      </c>
      <c r="I27" s="38">
        <f t="shared" si="2"/>
        <v>52614.32399298902</v>
      </c>
      <c r="J27" s="39">
        <v>36285.74068482001</v>
      </c>
    </row>
    <row r="28" spans="1:10" s="6" customFormat="1" ht="30" customHeight="1">
      <c r="A28" s="55"/>
      <c r="B28" s="44" t="s">
        <v>11</v>
      </c>
      <c r="C28" s="48"/>
      <c r="D28" s="42" t="s">
        <v>92</v>
      </c>
      <c r="E28" s="38">
        <v>58338.00038781</v>
      </c>
      <c r="F28" s="38">
        <f t="shared" si="0"/>
        <v>84590.1005623245</v>
      </c>
      <c r="G28" s="38">
        <v>64174.553517689994</v>
      </c>
      <c r="H28" s="38">
        <f t="shared" si="1"/>
        <v>93053.10260065048</v>
      </c>
      <c r="I28" s="38">
        <f t="shared" si="2"/>
        <v>67424.57756005951</v>
      </c>
      <c r="J28" s="39">
        <v>46499.70866211</v>
      </c>
    </row>
    <row r="29" spans="1:10" s="6" customFormat="1" ht="30" customHeight="1">
      <c r="A29" s="72"/>
      <c r="B29" s="44" t="s">
        <v>6</v>
      </c>
      <c r="C29" s="48" t="s">
        <v>82</v>
      </c>
      <c r="D29" s="41" t="s">
        <v>93</v>
      </c>
      <c r="E29" s="38">
        <v>31164.991240679992</v>
      </c>
      <c r="F29" s="38">
        <f t="shared" si="0"/>
        <v>45189.23729898599</v>
      </c>
      <c r="G29" s="38">
        <v>34275.984182550004</v>
      </c>
      <c r="H29" s="38">
        <f t="shared" si="1"/>
        <v>49700.177064697506</v>
      </c>
      <c r="I29" s="38">
        <f t="shared" si="2"/>
        <v>35289.121706982005</v>
      </c>
      <c r="J29" s="39">
        <v>24337.325315160004</v>
      </c>
    </row>
    <row r="30" spans="1:10" ht="30" customHeight="1">
      <c r="A30" s="55"/>
      <c r="B30" s="44" t="s">
        <v>12</v>
      </c>
      <c r="C30" s="48"/>
      <c r="D30" s="42" t="s">
        <v>94</v>
      </c>
      <c r="E30" s="38">
        <v>41186.242841039995</v>
      </c>
      <c r="F30" s="38">
        <f t="shared" si="0"/>
        <v>59720.05211950799</v>
      </c>
      <c r="G30" s="38">
        <v>45315.879489540006</v>
      </c>
      <c r="H30" s="38">
        <f t="shared" si="1"/>
        <v>65708.02525983301</v>
      </c>
      <c r="I30" s="38">
        <f t="shared" si="2"/>
        <v>50338.89419966551</v>
      </c>
      <c r="J30" s="39">
        <v>34716.47875839001</v>
      </c>
    </row>
    <row r="31" spans="1:10" ht="37.5" customHeight="1">
      <c r="A31" s="54"/>
      <c r="B31" s="43" t="s">
        <v>63</v>
      </c>
      <c r="C31" s="48" t="s">
        <v>83</v>
      </c>
      <c r="D31" s="42" t="s">
        <v>95</v>
      </c>
      <c r="E31" s="38">
        <v>49665.763425959994</v>
      </c>
      <c r="F31" s="38">
        <f t="shared" si="0"/>
        <v>72015.35696764199</v>
      </c>
      <c r="G31" s="38">
        <v>54621.327404159994</v>
      </c>
      <c r="H31" s="38">
        <f t="shared" si="1"/>
        <v>79200.92473603199</v>
      </c>
      <c r="I31" s="38">
        <f t="shared" si="2"/>
        <v>57644.221430862</v>
      </c>
      <c r="J31" s="39">
        <v>39754.63546956</v>
      </c>
    </row>
    <row r="32" spans="1:10" ht="30" customHeight="1">
      <c r="A32" s="54"/>
      <c r="B32" s="43" t="s">
        <v>62</v>
      </c>
      <c r="C32" s="48"/>
      <c r="D32" s="42" t="s">
        <v>96</v>
      </c>
      <c r="E32" s="38">
        <v>39672.04273658999</v>
      </c>
      <c r="F32" s="38">
        <f t="shared" si="0"/>
        <v>57524.46196805548</v>
      </c>
      <c r="G32" s="38">
        <v>43636.49391915</v>
      </c>
      <c r="H32" s="38">
        <f t="shared" si="1"/>
        <v>63272.9161827675</v>
      </c>
      <c r="I32" s="38">
        <f t="shared" si="2"/>
        <v>44231.161596533995</v>
      </c>
      <c r="J32" s="39">
        <v>30504.249376919997</v>
      </c>
    </row>
    <row r="33" spans="1:10" ht="30" customHeight="1">
      <c r="A33" s="61"/>
      <c r="B33" s="44">
        <v>3</v>
      </c>
      <c r="C33" s="48" t="s">
        <v>84</v>
      </c>
      <c r="D33" s="42" t="s">
        <v>0</v>
      </c>
      <c r="E33" s="38">
        <v>54703.92013713001</v>
      </c>
      <c r="F33" s="38">
        <f t="shared" si="0"/>
        <v>79320.68419883851</v>
      </c>
      <c r="G33" s="38">
        <v>60182.571424140006</v>
      </c>
      <c r="H33" s="38">
        <f t="shared" si="1"/>
        <v>87264.72856500301</v>
      </c>
      <c r="I33" s="38">
        <f t="shared" si="2"/>
        <v>60757.96746383098</v>
      </c>
      <c r="J33" s="39">
        <v>41902.04652677999</v>
      </c>
    </row>
    <row r="34" spans="1:10" ht="30" customHeight="1">
      <c r="A34" s="53"/>
      <c r="B34" s="44" t="s">
        <v>13</v>
      </c>
      <c r="C34" s="48"/>
      <c r="D34" s="42" t="s">
        <v>97</v>
      </c>
      <c r="E34" s="38">
        <v>66101.71728699001</v>
      </c>
      <c r="F34" s="38">
        <f t="shared" si="0"/>
        <v>95847.4900661355</v>
      </c>
      <c r="G34" s="38">
        <v>72709.13592459001</v>
      </c>
      <c r="H34" s="38">
        <f t="shared" si="1"/>
        <v>105428.24709065551</v>
      </c>
      <c r="I34" s="38">
        <f t="shared" si="2"/>
        <v>76047.2588821275</v>
      </c>
      <c r="J34" s="39">
        <v>52446.385435950004</v>
      </c>
    </row>
    <row r="35" spans="1:10" ht="30" customHeight="1">
      <c r="A35" s="54"/>
      <c r="B35" s="44" t="s">
        <v>7</v>
      </c>
      <c r="C35" s="48" t="s">
        <v>85</v>
      </c>
      <c r="D35" s="42" t="s">
        <v>98</v>
      </c>
      <c r="E35" s="38">
        <v>37744.87896729001</v>
      </c>
      <c r="F35" s="38">
        <f t="shared" si="0"/>
        <v>54730.07450257051</v>
      </c>
      <c r="G35" s="38">
        <v>41516.61377291999</v>
      </c>
      <c r="H35" s="38">
        <f t="shared" si="1"/>
        <v>60199.089970733985</v>
      </c>
      <c r="I35" s="38">
        <f t="shared" si="2"/>
        <v>40798.056996081</v>
      </c>
      <c r="J35" s="39">
        <v>28136.591031780004</v>
      </c>
    </row>
    <row r="36" spans="1:10" ht="30" customHeight="1">
      <c r="A36" s="54"/>
      <c r="B36" s="44" t="s">
        <v>17</v>
      </c>
      <c r="C36" s="48"/>
      <c r="D36" s="42" t="s">
        <v>99</v>
      </c>
      <c r="E36" s="38">
        <v>48344.27969844001</v>
      </c>
      <c r="F36" s="38">
        <f t="shared" si="0"/>
        <v>70099.20556273802</v>
      </c>
      <c r="G36" s="38">
        <v>53189.72003267999</v>
      </c>
      <c r="H36" s="38">
        <f t="shared" si="1"/>
        <v>77125.09404738598</v>
      </c>
      <c r="I36" s="38">
        <f t="shared" si="2"/>
        <v>55608.310563151506</v>
      </c>
      <c r="J36" s="39">
        <v>38350.559009070006</v>
      </c>
    </row>
    <row r="37" spans="1:10" ht="30" customHeight="1">
      <c r="A37" s="54"/>
      <c r="B37" s="44" t="s">
        <v>18</v>
      </c>
      <c r="C37" s="48"/>
      <c r="D37" s="42" t="s">
        <v>100</v>
      </c>
      <c r="E37" s="38">
        <v>48013.908766559995</v>
      </c>
      <c r="F37" s="38">
        <f t="shared" si="0"/>
        <v>69620.167711512</v>
      </c>
      <c r="G37" s="38">
        <v>52804.28727882</v>
      </c>
      <c r="H37" s="38">
        <f t="shared" si="1"/>
        <v>76566.216554289</v>
      </c>
      <c r="I37" s="38">
        <f t="shared" si="2"/>
        <v>54849.833965377</v>
      </c>
      <c r="J37" s="39">
        <v>37827.47170026</v>
      </c>
    </row>
    <row r="38" spans="1:10" ht="30" customHeight="1">
      <c r="A38" s="54"/>
      <c r="B38" s="43" t="s">
        <v>74</v>
      </c>
      <c r="C38" s="48" t="s">
        <v>86</v>
      </c>
      <c r="D38" s="42" t="s">
        <v>101</v>
      </c>
      <c r="E38" s="38">
        <v>57264.29485919999</v>
      </c>
      <c r="F38" s="38">
        <f t="shared" si="0"/>
        <v>83033.22754583998</v>
      </c>
      <c r="G38" s="38">
        <v>62990.724345120005</v>
      </c>
      <c r="H38" s="38">
        <f t="shared" si="1"/>
        <v>91336.550300424</v>
      </c>
      <c r="I38" s="38">
        <f t="shared" si="2"/>
        <v>66067.30364825248</v>
      </c>
      <c r="J38" s="39">
        <v>45563.65768844999</v>
      </c>
    </row>
    <row r="39" spans="1:10" ht="30" customHeight="1">
      <c r="A39" s="54"/>
      <c r="B39" s="43" t="s">
        <v>72</v>
      </c>
      <c r="C39" s="48"/>
      <c r="D39" s="42" t="s">
        <v>102</v>
      </c>
      <c r="E39" s="38">
        <v>47243.04325884001</v>
      </c>
      <c r="F39" s="38">
        <f t="shared" si="0"/>
        <v>68502.412725318</v>
      </c>
      <c r="G39" s="38">
        <v>51978.35994911999</v>
      </c>
      <c r="H39" s="38">
        <f t="shared" si="1"/>
        <v>75368.62192622399</v>
      </c>
      <c r="I39" s="38">
        <f t="shared" si="2"/>
        <v>51177.210439311006</v>
      </c>
      <c r="J39" s="39">
        <v>35294.62788918</v>
      </c>
    </row>
    <row r="40" spans="1:10" ht="30" customHeight="1">
      <c r="A40" s="54"/>
      <c r="B40" s="43" t="s">
        <v>73</v>
      </c>
      <c r="C40" s="48"/>
      <c r="D40" s="42" t="s">
        <v>103</v>
      </c>
      <c r="E40" s="38">
        <v>56686.14572841</v>
      </c>
      <c r="F40" s="38">
        <f t="shared" si="0"/>
        <v>82194.9113061945</v>
      </c>
      <c r="G40" s="38">
        <v>62357.513392349996</v>
      </c>
      <c r="H40" s="38">
        <f t="shared" si="1"/>
        <v>90418.3944189075</v>
      </c>
      <c r="I40" s="38">
        <f t="shared" si="2"/>
        <v>64909.62884112299</v>
      </c>
      <c r="J40" s="39">
        <v>44765.261269739996</v>
      </c>
    </row>
    <row r="41" spans="1:10" ht="30" customHeight="1">
      <c r="A41" s="34"/>
      <c r="B41" s="43" t="s">
        <v>19</v>
      </c>
      <c r="C41" s="44"/>
      <c r="D41" s="43" t="s">
        <v>104</v>
      </c>
      <c r="E41" s="38">
        <v>23043.372498630008</v>
      </c>
      <c r="F41" s="38">
        <f t="shared" si="0"/>
        <v>33412.89012301351</v>
      </c>
      <c r="G41" s="38">
        <v>25355.969021790002</v>
      </c>
      <c r="H41" s="38">
        <f t="shared" si="1"/>
        <v>36766.155081595505</v>
      </c>
      <c r="I41" s="38">
        <f t="shared" si="2"/>
        <v>28542.671968882496</v>
      </c>
      <c r="J41" s="39">
        <v>19684.60135785</v>
      </c>
    </row>
    <row r="42" spans="1:10" ht="30" customHeight="1">
      <c r="A42" s="67"/>
      <c r="B42" s="43" t="s">
        <v>64</v>
      </c>
      <c r="C42" s="44" t="s">
        <v>35</v>
      </c>
      <c r="D42" s="43" t="s">
        <v>105</v>
      </c>
      <c r="E42" s="38">
        <v>32128.573125329996</v>
      </c>
      <c r="F42" s="38">
        <f t="shared" si="0"/>
        <v>46586.43103172849</v>
      </c>
      <c r="G42" s="38">
        <v>35322.15880017001</v>
      </c>
      <c r="H42" s="38">
        <f t="shared" si="1"/>
        <v>51217.13026024651</v>
      </c>
      <c r="I42" s="38">
        <f t="shared" si="2"/>
        <v>38163.34881433801</v>
      </c>
      <c r="J42" s="39">
        <v>26319.550906440007</v>
      </c>
    </row>
    <row r="43" spans="1:10" ht="30" customHeight="1">
      <c r="A43" s="53"/>
      <c r="B43" s="43" t="s">
        <v>65</v>
      </c>
      <c r="C43" s="44" t="s">
        <v>36</v>
      </c>
      <c r="D43" s="43" t="s">
        <v>106</v>
      </c>
      <c r="E43" s="38">
        <v>56548.49117346</v>
      </c>
      <c r="F43" s="38">
        <f t="shared" si="0"/>
        <v>81995.31220151701</v>
      </c>
      <c r="G43" s="38">
        <v>62192.32792641</v>
      </c>
      <c r="H43" s="38">
        <f t="shared" si="1"/>
        <v>90178.8754932945</v>
      </c>
      <c r="I43" s="38">
        <f t="shared" si="2"/>
        <v>63232.996361832</v>
      </c>
      <c r="J43" s="39">
        <v>43608.963008160004</v>
      </c>
    </row>
    <row r="44" spans="1:10" ht="30" customHeight="1">
      <c r="A44" s="52"/>
      <c r="B44" s="44" t="s">
        <v>14</v>
      </c>
      <c r="C44" s="44" t="s">
        <v>34</v>
      </c>
      <c r="D44" s="43" t="s">
        <v>107</v>
      </c>
      <c r="E44" s="38">
        <v>27448.31825703</v>
      </c>
      <c r="F44" s="38">
        <f t="shared" si="0"/>
        <v>39800.0614726935</v>
      </c>
      <c r="G44" s="38">
        <v>30201.40935603001</v>
      </c>
      <c r="H44" s="38">
        <f t="shared" si="1"/>
        <v>43792.04356624351</v>
      </c>
      <c r="I44" s="38">
        <f t="shared" si="2"/>
        <v>31177.380150625493</v>
      </c>
      <c r="J44" s="39">
        <v>21501.641483189997</v>
      </c>
    </row>
    <row r="45" spans="1:10" ht="30" customHeight="1">
      <c r="A45" s="52"/>
      <c r="B45" s="44" t="s">
        <v>20</v>
      </c>
      <c r="C45" s="41" t="s">
        <v>37</v>
      </c>
      <c r="D45" s="42" t="s">
        <v>108</v>
      </c>
      <c r="E45" s="38">
        <v>18693.48856221</v>
      </c>
      <c r="F45" s="38">
        <f t="shared" si="0"/>
        <v>27105.5584152045</v>
      </c>
      <c r="G45" s="38">
        <v>20538.059598540003</v>
      </c>
      <c r="H45" s="38">
        <f t="shared" si="1"/>
        <v>29780.186417883004</v>
      </c>
      <c r="I45" s="38">
        <f t="shared" si="2"/>
        <v>21476.863663299</v>
      </c>
      <c r="J45" s="39">
        <v>14811.63011262</v>
      </c>
    </row>
    <row r="46" spans="1:10" ht="30" customHeight="1">
      <c r="A46" s="53"/>
      <c r="B46" s="44" t="s">
        <v>8</v>
      </c>
      <c r="C46" s="41" t="s">
        <v>38</v>
      </c>
      <c r="D46" s="42" t="s">
        <v>109</v>
      </c>
      <c r="E46" s="38">
        <v>27448.31825703</v>
      </c>
      <c r="F46" s="38">
        <f t="shared" si="0"/>
        <v>39800.0614726935</v>
      </c>
      <c r="G46" s="38">
        <v>30201.40935603001</v>
      </c>
      <c r="H46" s="38">
        <f t="shared" si="1"/>
        <v>43792.04356624351</v>
      </c>
      <c r="I46" s="38">
        <f t="shared" si="2"/>
        <v>29341.068387592502</v>
      </c>
      <c r="J46" s="39">
        <v>20235.21957765</v>
      </c>
    </row>
    <row r="47" spans="1:10" ht="30" customHeight="1" thickBot="1">
      <c r="A47" s="35"/>
      <c r="B47" s="44" t="s">
        <v>21</v>
      </c>
      <c r="C47" s="41"/>
      <c r="D47" s="42" t="s">
        <v>1</v>
      </c>
      <c r="E47" s="38">
        <v>3331.2402297900003</v>
      </c>
      <c r="F47" s="38">
        <f t="shared" si="0"/>
        <v>4830.2983331955</v>
      </c>
      <c r="G47" s="38">
        <v>3661.61116167</v>
      </c>
      <c r="H47" s="38">
        <f t="shared" si="1"/>
        <v>5309.3361844215</v>
      </c>
      <c r="I47" s="38">
        <f t="shared" si="2"/>
        <v>4191.5811982275</v>
      </c>
      <c r="J47" s="39">
        <v>2890.74565395</v>
      </c>
    </row>
    <row r="48" spans="1:6" ht="24" customHeight="1">
      <c r="A48" s="22" t="s">
        <v>68</v>
      </c>
      <c r="B48" s="8"/>
      <c r="C48" s="15"/>
      <c r="D48" s="9"/>
      <c r="E48" s="16"/>
      <c r="F48" s="16"/>
    </row>
    <row r="49" spans="1:4" ht="12.75">
      <c r="A49" s="10" t="s">
        <v>127</v>
      </c>
      <c r="B49" s="10" t="s">
        <v>128</v>
      </c>
      <c r="C49" s="11" t="s">
        <v>129</v>
      </c>
      <c r="D49" s="11" t="s">
        <v>130</v>
      </c>
    </row>
    <row r="50" spans="1:4" ht="9.75" customHeight="1">
      <c r="A50" s="17" t="s">
        <v>134</v>
      </c>
      <c r="B50" s="14" t="s">
        <v>3</v>
      </c>
      <c r="C50" s="13"/>
      <c r="D50" s="73" t="s">
        <v>135</v>
      </c>
    </row>
    <row r="51" spans="1:4" ht="12" customHeight="1">
      <c r="A51" s="17" t="s">
        <v>131</v>
      </c>
      <c r="B51" s="14" t="s">
        <v>3</v>
      </c>
      <c r="C51" s="13"/>
      <c r="D51" s="74" t="s">
        <v>126</v>
      </c>
    </row>
    <row r="52" spans="1:4" ht="28.5" customHeight="1">
      <c r="A52" s="17" t="s">
        <v>132</v>
      </c>
      <c r="B52" s="12" t="s">
        <v>3</v>
      </c>
      <c r="C52" s="13"/>
      <c r="D52" s="40" t="s">
        <v>71</v>
      </c>
    </row>
    <row r="53" spans="1:4" ht="21.75" customHeight="1">
      <c r="A53" s="21" t="s">
        <v>133</v>
      </c>
      <c r="B53" s="19"/>
      <c r="C53" s="20" t="s">
        <v>3</v>
      </c>
      <c r="D53" s="75"/>
    </row>
    <row r="55" ht="12.75"/>
    <row r="56" ht="12.75"/>
    <row r="57" ht="12.75"/>
    <row r="58" ht="12.75"/>
    <row r="59" ht="12.75"/>
    <row r="60" ht="12.75"/>
  </sheetData>
  <sheetProtection password="ECA7" sheet="1" objects="1" scenarios="1" selectLockedCells="1" selectUnlockedCells="1"/>
  <mergeCells count="25">
    <mergeCell ref="A44:A46"/>
    <mergeCell ref="A42:A43"/>
    <mergeCell ref="C35:C37"/>
    <mergeCell ref="A14:A15"/>
    <mergeCell ref="C14:C15"/>
    <mergeCell ref="A27:A28"/>
    <mergeCell ref="C27:C28"/>
    <mergeCell ref="A29:A30"/>
    <mergeCell ref="B13:D13"/>
    <mergeCell ref="C38:C40"/>
    <mergeCell ref="A31:A32"/>
    <mergeCell ref="C31:C32"/>
    <mergeCell ref="C33:C34"/>
    <mergeCell ref="A38:A40"/>
    <mergeCell ref="A35:A37"/>
    <mergeCell ref="A33:A34"/>
    <mergeCell ref="D14:D15"/>
    <mergeCell ref="A22:A26"/>
    <mergeCell ref="J14:J15"/>
    <mergeCell ref="C29:C30"/>
    <mergeCell ref="B14:B15"/>
    <mergeCell ref="A16:A18"/>
    <mergeCell ref="A19:A21"/>
    <mergeCell ref="I14:I15"/>
    <mergeCell ref="E14:H14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80" r:id="rId2"/>
  <headerFooter alignWithMargins="0">
    <oddFooter>&amp;C&amp;A</oddFooter>
  </headerFooter>
  <customProperties>
    <customPr name="DVSECTION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1">
      <selection activeCell="A43" sqref="A43"/>
    </sheetView>
  </sheetViews>
  <sheetFormatPr defaultColWidth="9.140625" defaultRowHeight="12.75"/>
  <sheetData>
    <row r="1" spans="1:256" ht="12.75">
      <c r="A1" t="e">
        <f>IF(#REF!,"AAAAADTr3QA=",0)</f>
        <v>#REF!</v>
      </c>
      <c r="B1" t="e">
        <f>AND(#REF!,"AAAAADTr3QE=")</f>
        <v>#REF!</v>
      </c>
      <c r="C1" t="e">
        <f>AND(#REF!,"AAAAADTr3QI=")</f>
        <v>#REF!</v>
      </c>
      <c r="D1" t="e">
        <f>AND(#REF!,"AAAAADTr3QM=")</f>
        <v>#REF!</v>
      </c>
      <c r="E1" t="e">
        <f>AND(#REF!,"AAAAADTr3QQ=")</f>
        <v>#REF!</v>
      </c>
      <c r="F1" t="e">
        <f>AND(#REF!,"AAAAADTr3QU=")</f>
        <v>#REF!</v>
      </c>
      <c r="G1" t="e">
        <f>AND(#REF!,"AAAAADTr3QY=")</f>
        <v>#REF!</v>
      </c>
      <c r="H1" t="e">
        <f>AND(#REF!,"AAAAADTr3Qc=")</f>
        <v>#REF!</v>
      </c>
      <c r="I1" t="e">
        <f>AND(#REF!,"AAAAADTr3Qg=")</f>
        <v>#REF!</v>
      </c>
      <c r="J1" t="e">
        <f>AND(#REF!,"AAAAADTr3Qk=")</f>
        <v>#REF!</v>
      </c>
      <c r="K1" t="e">
        <f>IF(#REF!,"AAAAADTr3Qo=",0)</f>
        <v>#REF!</v>
      </c>
      <c r="L1" t="e">
        <f>AND(#REF!,"AAAAADTr3Qs=")</f>
        <v>#REF!</v>
      </c>
      <c r="M1" t="e">
        <f>AND(#REF!,"AAAAADTr3Qw=")</f>
        <v>#REF!</v>
      </c>
      <c r="N1" t="e">
        <f>AND(#REF!,"AAAAADTr3Q0=")</f>
        <v>#REF!</v>
      </c>
      <c r="O1" t="e">
        <f>AND(#REF!,"AAAAADTr3Q4=")</f>
        <v>#REF!</v>
      </c>
      <c r="P1" t="e">
        <f>AND(#REF!,"AAAAADTr3Q8=")</f>
        <v>#REF!</v>
      </c>
      <c r="Q1" t="e">
        <f>AND(#REF!,"AAAAADTr3RA=")</f>
        <v>#REF!</v>
      </c>
      <c r="R1" t="e">
        <f>AND(#REF!,"AAAAADTr3RE=")</f>
        <v>#REF!</v>
      </c>
      <c r="S1" t="e">
        <f>AND(#REF!,"AAAAADTr3RI=")</f>
        <v>#REF!</v>
      </c>
      <c r="T1" t="e">
        <f>AND(#REF!,"AAAAADTr3RM=")</f>
        <v>#REF!</v>
      </c>
      <c r="U1" t="e">
        <f>IF(#REF!,"AAAAADTr3RQ=",0)</f>
        <v>#REF!</v>
      </c>
      <c r="V1" t="e">
        <f>AND(#REF!,"AAAAADTr3RU=")</f>
        <v>#REF!</v>
      </c>
      <c r="W1" t="e">
        <f>AND(#REF!,"AAAAADTr3RY=")</f>
        <v>#REF!</v>
      </c>
      <c r="X1" t="e">
        <f>AND(#REF!,"AAAAADTr3Rc=")</f>
        <v>#REF!</v>
      </c>
      <c r="Y1" t="e">
        <f>AND(#REF!,"AAAAADTr3Rg=")</f>
        <v>#REF!</v>
      </c>
      <c r="Z1" t="e">
        <f>AND(#REF!,"AAAAADTr3Rk=")</f>
        <v>#REF!</v>
      </c>
      <c r="AA1" t="e">
        <f>AND(#REF!,"AAAAADTr3Ro=")</f>
        <v>#REF!</v>
      </c>
      <c r="AB1" t="e">
        <f>AND(#REF!,"AAAAADTr3Rs=")</f>
        <v>#REF!</v>
      </c>
      <c r="AC1" t="e">
        <f>AND(#REF!,"AAAAADTr3Rw=")</f>
        <v>#REF!</v>
      </c>
      <c r="AD1" t="e">
        <f>AND(#REF!,"AAAAADTr3R0=")</f>
        <v>#REF!</v>
      </c>
      <c r="AE1" t="e">
        <f>IF(#REF!,"AAAAADTr3R4=",0)</f>
        <v>#REF!</v>
      </c>
      <c r="AF1" t="e">
        <f>AND(#REF!,"AAAAADTr3R8=")</f>
        <v>#REF!</v>
      </c>
      <c r="AG1" t="e">
        <f>AND(#REF!,"AAAAADTr3SA=")</f>
        <v>#REF!</v>
      </c>
      <c r="AH1" t="e">
        <f>AND(#REF!,"AAAAADTr3SE=")</f>
        <v>#REF!</v>
      </c>
      <c r="AI1" t="e">
        <f>AND(#REF!,"AAAAADTr3SI=")</f>
        <v>#REF!</v>
      </c>
      <c r="AJ1" t="e">
        <f>AND(#REF!,"AAAAADTr3SM=")</f>
        <v>#REF!</v>
      </c>
      <c r="AK1" t="e">
        <f>AND(#REF!,"AAAAADTr3SQ=")</f>
        <v>#REF!</v>
      </c>
      <c r="AL1" t="e">
        <f>AND(#REF!,"AAAAADTr3SU=")</f>
        <v>#REF!</v>
      </c>
      <c r="AM1" t="e">
        <f>AND(#REF!,"AAAAADTr3SY=")</f>
        <v>#REF!</v>
      </c>
      <c r="AN1" t="e">
        <f>AND(#REF!,"AAAAADTr3Sc=")</f>
        <v>#REF!</v>
      </c>
      <c r="AO1" t="e">
        <f>IF(#REF!,"AAAAADTr3Sg=",0)</f>
        <v>#REF!</v>
      </c>
      <c r="AP1" t="e">
        <f>AND(#REF!,"AAAAADTr3Sk=")</f>
        <v>#REF!</v>
      </c>
      <c r="AQ1" t="e">
        <f>AND(#REF!,"AAAAADTr3So=")</f>
        <v>#REF!</v>
      </c>
      <c r="AR1" t="e">
        <f>AND(#REF!,"AAAAADTr3Ss=")</f>
        <v>#REF!</v>
      </c>
      <c r="AS1" t="e">
        <f>AND(#REF!,"AAAAADTr3Sw=")</f>
        <v>#REF!</v>
      </c>
      <c r="AT1" t="e">
        <f>AND(#REF!,"AAAAADTr3S0=")</f>
        <v>#REF!</v>
      </c>
      <c r="AU1" t="e">
        <f>AND(#REF!,"AAAAADTr3S4=")</f>
        <v>#REF!</v>
      </c>
      <c r="AV1" t="e">
        <f>AND(#REF!,"AAAAADTr3S8=")</f>
        <v>#REF!</v>
      </c>
      <c r="AW1" t="e">
        <f>AND(#REF!,"AAAAADTr3TA=")</f>
        <v>#REF!</v>
      </c>
      <c r="AX1" t="e">
        <f>AND(#REF!,"AAAAADTr3TE=")</f>
        <v>#REF!</v>
      </c>
      <c r="AY1" t="e">
        <f>IF(#REF!,"AAAAADTr3TI=",0)</f>
        <v>#REF!</v>
      </c>
      <c r="AZ1" t="e">
        <f>AND(#REF!,"AAAAADTr3TM=")</f>
        <v>#REF!</v>
      </c>
      <c r="BA1" t="e">
        <f>AND(#REF!,"AAAAADTr3TQ=")</f>
        <v>#REF!</v>
      </c>
      <c r="BB1" t="e">
        <f>AND(#REF!,"AAAAADTr3TU=")</f>
        <v>#REF!</v>
      </c>
      <c r="BC1" t="e">
        <f>AND(#REF!,"AAAAADTr3TY=")</f>
        <v>#REF!</v>
      </c>
      <c r="BD1" t="e">
        <f>AND(#REF!,"AAAAADTr3Tc=")</f>
        <v>#REF!</v>
      </c>
      <c r="BE1" t="e">
        <f>AND(#REF!,"AAAAADTr3Tg=")</f>
        <v>#REF!</v>
      </c>
      <c r="BF1" t="e">
        <f>AND(#REF!,"AAAAADTr3Tk=")</f>
        <v>#REF!</v>
      </c>
      <c r="BG1" t="e">
        <f>AND(#REF!,"AAAAADTr3To=")</f>
        <v>#REF!</v>
      </c>
      <c r="BH1" t="e">
        <f>AND(#REF!,"AAAAADTr3Ts=")</f>
        <v>#REF!</v>
      </c>
      <c r="BI1" t="e">
        <f>IF(#REF!,"AAAAADTr3Tw=",0)</f>
        <v>#REF!</v>
      </c>
      <c r="BJ1" t="e">
        <f>AND(#REF!,"AAAAADTr3T0=")</f>
        <v>#REF!</v>
      </c>
      <c r="BK1" t="e">
        <f>AND(#REF!,"AAAAADTr3T4=")</f>
        <v>#REF!</v>
      </c>
      <c r="BL1" t="e">
        <f>AND(#REF!,"AAAAADTr3T8=")</f>
        <v>#REF!</v>
      </c>
      <c r="BM1" t="e">
        <f>AND(#REF!,"AAAAADTr3UA=")</f>
        <v>#REF!</v>
      </c>
      <c r="BN1" t="e">
        <f>AND(#REF!,"AAAAADTr3UE=")</f>
        <v>#REF!</v>
      </c>
      <c r="BO1" t="e">
        <f>AND(#REF!,"AAAAADTr3UI=")</f>
        <v>#REF!</v>
      </c>
      <c r="BP1" t="e">
        <f>AND(#REF!,"AAAAADTr3UM=")</f>
        <v>#REF!</v>
      </c>
      <c r="BQ1" t="e">
        <f>AND(#REF!,"AAAAADTr3UQ=")</f>
        <v>#REF!</v>
      </c>
      <c r="BR1" t="e">
        <f>AND(#REF!,"AAAAADTr3UU=")</f>
        <v>#REF!</v>
      </c>
      <c r="BS1" t="e">
        <f>IF(#REF!,"AAAAADTr3UY=",0)</f>
        <v>#REF!</v>
      </c>
      <c r="BT1" t="e">
        <f>AND(#REF!,"AAAAADTr3Uc=")</f>
        <v>#REF!</v>
      </c>
      <c r="BU1" t="e">
        <f>AND(#REF!,"AAAAADTr3Ug=")</f>
        <v>#REF!</v>
      </c>
      <c r="BV1" t="e">
        <f>AND(#REF!,"AAAAADTr3Uk=")</f>
        <v>#REF!</v>
      </c>
      <c r="BW1" t="e">
        <f>AND(#REF!,"AAAAADTr3Uo=")</f>
        <v>#REF!</v>
      </c>
      <c r="BX1" t="e">
        <f>AND(#REF!,"AAAAADTr3Us=")</f>
        <v>#REF!</v>
      </c>
      <c r="BY1" t="e">
        <f>AND(#REF!,"AAAAADTr3Uw=")</f>
        <v>#REF!</v>
      </c>
      <c r="BZ1" t="e">
        <f>AND(#REF!,"AAAAADTr3U0=")</f>
        <v>#REF!</v>
      </c>
      <c r="CA1" t="e">
        <f>AND(#REF!,"AAAAADTr3U4=")</f>
        <v>#REF!</v>
      </c>
      <c r="CB1" t="e">
        <f>AND(#REF!,"AAAAADTr3U8=")</f>
        <v>#REF!</v>
      </c>
      <c r="CC1" t="e">
        <f>IF(#REF!,"AAAAADTr3VA=",0)</f>
        <v>#REF!</v>
      </c>
      <c r="CD1" t="e">
        <f>AND(#REF!,"AAAAADTr3VE=")</f>
        <v>#REF!</v>
      </c>
      <c r="CE1" t="e">
        <f>AND(#REF!,"AAAAADTr3VI=")</f>
        <v>#REF!</v>
      </c>
      <c r="CF1" t="e">
        <f>AND(#REF!,"AAAAADTr3VM=")</f>
        <v>#REF!</v>
      </c>
      <c r="CG1" t="e">
        <f>AND(#REF!,"AAAAADTr3VQ=")</f>
        <v>#REF!</v>
      </c>
      <c r="CH1" t="e">
        <f>AND(#REF!,"AAAAADTr3VU=")</f>
        <v>#REF!</v>
      </c>
      <c r="CI1" t="e">
        <f>AND(#REF!,"AAAAADTr3VY=")</f>
        <v>#REF!</v>
      </c>
      <c r="CJ1" t="e">
        <f>AND(#REF!,"AAAAADTr3Vc=")</f>
        <v>#REF!</v>
      </c>
      <c r="CK1" t="e">
        <f>AND(#REF!,"AAAAADTr3Vg=")</f>
        <v>#REF!</v>
      </c>
      <c r="CL1" t="e">
        <f>AND(#REF!,"AAAAADTr3Vk=")</f>
        <v>#REF!</v>
      </c>
      <c r="CM1" t="e">
        <f>IF(#REF!,"AAAAADTr3Vo=",0)</f>
        <v>#REF!</v>
      </c>
      <c r="CN1" t="e">
        <f>AND(#REF!,"AAAAADTr3Vs=")</f>
        <v>#REF!</v>
      </c>
      <c r="CO1" t="e">
        <f>AND(#REF!,"AAAAADTr3Vw=")</f>
        <v>#REF!</v>
      </c>
      <c r="CP1" t="e">
        <f>AND(#REF!,"AAAAADTr3V0=")</f>
        <v>#REF!</v>
      </c>
      <c r="CQ1" t="e">
        <f>AND(#REF!,"AAAAADTr3V4=")</f>
        <v>#REF!</v>
      </c>
      <c r="CR1" t="e">
        <f>AND(#REF!,"AAAAADTr3V8=")</f>
        <v>#REF!</v>
      </c>
      <c r="CS1" t="e">
        <f>AND(#REF!,"AAAAADTr3WA=")</f>
        <v>#REF!</v>
      </c>
      <c r="CT1" t="e">
        <f>AND(#REF!,"AAAAADTr3WE=")</f>
        <v>#REF!</v>
      </c>
      <c r="CU1" t="e">
        <f>AND(#REF!,"AAAAADTr3WI=")</f>
        <v>#REF!</v>
      </c>
      <c r="CV1" t="e">
        <f>AND(#REF!,"AAAAADTr3WM=")</f>
        <v>#REF!</v>
      </c>
      <c r="CW1" t="e">
        <f>IF(#REF!,"AAAAADTr3WQ=",0)</f>
        <v>#REF!</v>
      </c>
      <c r="CX1" t="e">
        <f>AND(#REF!,"AAAAADTr3WU=")</f>
        <v>#REF!</v>
      </c>
      <c r="CY1" t="e">
        <f>AND(#REF!,"AAAAADTr3WY=")</f>
        <v>#REF!</v>
      </c>
      <c r="CZ1" t="e">
        <f>AND(#REF!,"AAAAADTr3Wc=")</f>
        <v>#REF!</v>
      </c>
      <c r="DA1" t="e">
        <f>AND(#REF!,"AAAAADTr3Wg=")</f>
        <v>#REF!</v>
      </c>
      <c r="DB1" t="e">
        <f>AND(#REF!,"AAAAADTr3Wk=")</f>
        <v>#REF!</v>
      </c>
      <c r="DC1" t="e">
        <f>AND(#REF!,"AAAAADTr3Wo=")</f>
        <v>#REF!</v>
      </c>
      <c r="DD1" t="e">
        <f>AND(#REF!,"AAAAADTr3Ws=")</f>
        <v>#REF!</v>
      </c>
      <c r="DE1" t="e">
        <f>AND(#REF!,"AAAAADTr3Ww=")</f>
        <v>#REF!</v>
      </c>
      <c r="DF1" t="e">
        <f>AND(#REF!,"AAAAADTr3W0=")</f>
        <v>#REF!</v>
      </c>
      <c r="DG1" t="e">
        <f>IF(#REF!,"AAAAADTr3W4=",0)</f>
        <v>#REF!</v>
      </c>
      <c r="DH1" t="e">
        <f>AND(#REF!,"AAAAADTr3W8=")</f>
        <v>#REF!</v>
      </c>
      <c r="DI1" t="e">
        <f>AND(#REF!,"AAAAADTr3XA=")</f>
        <v>#REF!</v>
      </c>
      <c r="DJ1" t="e">
        <f>AND(#REF!,"AAAAADTr3XE=")</f>
        <v>#REF!</v>
      </c>
      <c r="DK1" t="e">
        <f>AND(#REF!,"AAAAADTr3XI=")</f>
        <v>#REF!</v>
      </c>
      <c r="DL1" t="e">
        <f>AND(#REF!,"AAAAADTr3XM=")</f>
        <v>#REF!</v>
      </c>
      <c r="DM1" t="e">
        <f>AND(#REF!,"AAAAADTr3XQ=")</f>
        <v>#REF!</v>
      </c>
      <c r="DN1" t="e">
        <f>AND(#REF!,"AAAAADTr3XU=")</f>
        <v>#REF!</v>
      </c>
      <c r="DO1" t="e">
        <f>AND(#REF!,"AAAAADTr3XY=")</f>
        <v>#REF!</v>
      </c>
      <c r="DP1" t="e">
        <f>AND(#REF!,"AAAAADTr3Xc=")</f>
        <v>#REF!</v>
      </c>
      <c r="DQ1" t="e">
        <f>IF(#REF!,"AAAAADTr3Xg=",0)</f>
        <v>#REF!</v>
      </c>
      <c r="DR1" t="e">
        <f>AND(#REF!,"AAAAADTr3Xk=")</f>
        <v>#REF!</v>
      </c>
      <c r="DS1" t="e">
        <f>AND(#REF!,"AAAAADTr3Xo=")</f>
        <v>#REF!</v>
      </c>
      <c r="DT1" t="e">
        <f>AND(#REF!,"AAAAADTr3Xs=")</f>
        <v>#REF!</v>
      </c>
      <c r="DU1" t="e">
        <f>AND(#REF!,"AAAAADTr3Xw=")</f>
        <v>#REF!</v>
      </c>
      <c r="DV1" t="e">
        <f>AND(#REF!,"AAAAADTr3X0=")</f>
        <v>#REF!</v>
      </c>
      <c r="DW1" t="e">
        <f>AND(#REF!,"AAAAADTr3X4=")</f>
        <v>#REF!</v>
      </c>
      <c r="DX1" t="e">
        <f>AND(#REF!,"AAAAADTr3X8=")</f>
        <v>#REF!</v>
      </c>
      <c r="DY1" t="e">
        <f>AND(#REF!,"AAAAADTr3YA=")</f>
        <v>#REF!</v>
      </c>
      <c r="DZ1" t="e">
        <f>AND(#REF!,"AAAAADTr3YE=")</f>
        <v>#REF!</v>
      </c>
      <c r="EA1" t="e">
        <f>IF(#REF!,"AAAAADTr3YI=",0)</f>
        <v>#REF!</v>
      </c>
      <c r="EB1" t="e">
        <f>AND(#REF!,"AAAAADTr3YM=")</f>
        <v>#REF!</v>
      </c>
      <c r="EC1" t="e">
        <f>AND(#REF!,"AAAAADTr3YQ=")</f>
        <v>#REF!</v>
      </c>
      <c r="ED1" t="e">
        <f>AND(#REF!,"AAAAADTr3YU=")</f>
        <v>#REF!</v>
      </c>
      <c r="EE1" t="e">
        <f>AND(#REF!,"AAAAADTr3YY=")</f>
        <v>#REF!</v>
      </c>
      <c r="EF1" t="e">
        <f>AND(#REF!,"AAAAADTr3Yc=")</f>
        <v>#REF!</v>
      </c>
      <c r="EG1" t="e">
        <f>AND(#REF!,"AAAAADTr3Yg=")</f>
        <v>#REF!</v>
      </c>
      <c r="EH1" t="e">
        <f>AND(#REF!,"AAAAADTr3Yk=")</f>
        <v>#REF!</v>
      </c>
      <c r="EI1" t="e">
        <f>AND(#REF!,"AAAAADTr3Yo=")</f>
        <v>#REF!</v>
      </c>
      <c r="EJ1" t="e">
        <f>AND(#REF!,"AAAAADTr3Ys=")</f>
        <v>#REF!</v>
      </c>
      <c r="EK1" t="e">
        <f>IF(#REF!,"AAAAADTr3Yw=",0)</f>
        <v>#REF!</v>
      </c>
      <c r="EL1" t="e">
        <f>AND(#REF!,"AAAAADTr3Y0=")</f>
        <v>#REF!</v>
      </c>
      <c r="EM1" t="e">
        <f>AND(#REF!,"AAAAADTr3Y4=")</f>
        <v>#REF!</v>
      </c>
      <c r="EN1" t="e">
        <f>AND(#REF!,"AAAAADTr3Y8=")</f>
        <v>#REF!</v>
      </c>
      <c r="EO1" t="e">
        <f>AND(#REF!,"AAAAADTr3ZA=")</f>
        <v>#REF!</v>
      </c>
      <c r="EP1" t="e">
        <f>AND(#REF!,"AAAAADTr3ZE=")</f>
        <v>#REF!</v>
      </c>
      <c r="EQ1" t="e">
        <f>AND(#REF!,"AAAAADTr3ZI=")</f>
        <v>#REF!</v>
      </c>
      <c r="ER1" t="e">
        <f>AND(#REF!,"AAAAADTr3ZM=")</f>
        <v>#REF!</v>
      </c>
      <c r="ES1" t="e">
        <f>AND(#REF!,"AAAAADTr3ZQ=")</f>
        <v>#REF!</v>
      </c>
      <c r="ET1" t="e">
        <f>AND(#REF!,"AAAAADTr3ZU=")</f>
        <v>#REF!</v>
      </c>
      <c r="EU1" t="e">
        <f>IF(#REF!,"AAAAADTr3ZY=",0)</f>
        <v>#REF!</v>
      </c>
      <c r="EV1" t="e">
        <f>AND(#REF!,"AAAAADTr3Zc=")</f>
        <v>#REF!</v>
      </c>
      <c r="EW1" t="e">
        <f>AND(#REF!,"AAAAADTr3Zg=")</f>
        <v>#REF!</v>
      </c>
      <c r="EX1" t="e">
        <f>AND(#REF!,"AAAAADTr3Zk=")</f>
        <v>#REF!</v>
      </c>
      <c r="EY1" t="e">
        <f>AND(#REF!,"AAAAADTr3Zo=")</f>
        <v>#REF!</v>
      </c>
      <c r="EZ1" t="e">
        <f>AND(#REF!,"AAAAADTr3Zs=")</f>
        <v>#REF!</v>
      </c>
      <c r="FA1" t="e">
        <f>AND(#REF!,"AAAAADTr3Zw=")</f>
        <v>#REF!</v>
      </c>
      <c r="FB1" t="e">
        <f>AND(#REF!,"AAAAADTr3Z0=")</f>
        <v>#REF!</v>
      </c>
      <c r="FC1" t="e">
        <f>AND(#REF!,"AAAAADTr3Z4=")</f>
        <v>#REF!</v>
      </c>
      <c r="FD1" t="e">
        <f>AND(#REF!,"AAAAADTr3Z8=")</f>
        <v>#REF!</v>
      </c>
      <c r="FE1" t="e">
        <f>IF(#REF!,"AAAAADTr3aA=",0)</f>
        <v>#REF!</v>
      </c>
      <c r="FF1" t="e">
        <f>AND(#REF!,"AAAAADTr3aE=")</f>
        <v>#REF!</v>
      </c>
      <c r="FG1" t="e">
        <f>AND(#REF!,"AAAAADTr3aI=")</f>
        <v>#REF!</v>
      </c>
      <c r="FH1" t="e">
        <f>AND(#REF!,"AAAAADTr3aM=")</f>
        <v>#REF!</v>
      </c>
      <c r="FI1" t="e">
        <f>AND(#REF!,"AAAAADTr3aQ=")</f>
        <v>#REF!</v>
      </c>
      <c r="FJ1" t="e">
        <f>AND(#REF!,"AAAAADTr3aU=")</f>
        <v>#REF!</v>
      </c>
      <c r="FK1" t="e">
        <f>AND(#REF!,"AAAAADTr3aY=")</f>
        <v>#REF!</v>
      </c>
      <c r="FL1" t="e">
        <f>AND(#REF!,"AAAAADTr3ac=")</f>
        <v>#REF!</v>
      </c>
      <c r="FM1" t="e">
        <f>AND(#REF!,"AAAAADTr3ag=")</f>
        <v>#REF!</v>
      </c>
      <c r="FN1" t="e">
        <f>AND(#REF!,"AAAAADTr3ak=")</f>
        <v>#REF!</v>
      </c>
      <c r="FO1" t="e">
        <f>IF(#REF!,"AAAAADTr3ao=",0)</f>
        <v>#REF!</v>
      </c>
      <c r="FP1" t="e">
        <f>AND(#REF!,"AAAAADTr3as=")</f>
        <v>#REF!</v>
      </c>
      <c r="FQ1" t="e">
        <f>AND(#REF!,"AAAAADTr3aw=")</f>
        <v>#REF!</v>
      </c>
      <c r="FR1" t="e">
        <f>AND(#REF!,"AAAAADTr3a0=")</f>
        <v>#REF!</v>
      </c>
      <c r="FS1" t="e">
        <f>AND(#REF!,"AAAAADTr3a4=")</f>
        <v>#REF!</v>
      </c>
      <c r="FT1" t="e">
        <f>AND(#REF!,"AAAAADTr3a8=")</f>
        <v>#REF!</v>
      </c>
      <c r="FU1" t="e">
        <f>AND(#REF!,"AAAAADTr3bA=")</f>
        <v>#REF!</v>
      </c>
      <c r="FV1" t="e">
        <f>AND(#REF!,"AAAAADTr3bE=")</f>
        <v>#REF!</v>
      </c>
      <c r="FW1" t="e">
        <f>AND(#REF!,"AAAAADTr3bI=")</f>
        <v>#REF!</v>
      </c>
      <c r="FX1" t="e">
        <f>AND(#REF!,"AAAAADTr3bM=")</f>
        <v>#REF!</v>
      </c>
      <c r="FY1" t="e">
        <f>IF(#REF!,"AAAAADTr3bQ=",0)</f>
        <v>#REF!</v>
      </c>
      <c r="FZ1" t="e">
        <f>AND(#REF!,"AAAAADTr3bU=")</f>
        <v>#REF!</v>
      </c>
      <c r="GA1" t="e">
        <f>AND(#REF!,"AAAAADTr3bY=")</f>
        <v>#REF!</v>
      </c>
      <c r="GB1" t="e">
        <f>AND(#REF!,"AAAAADTr3bc=")</f>
        <v>#REF!</v>
      </c>
      <c r="GC1" t="e">
        <f>AND(#REF!,"AAAAADTr3bg=")</f>
        <v>#REF!</v>
      </c>
      <c r="GD1" t="e">
        <f>AND(#REF!,"AAAAADTr3bk=")</f>
        <v>#REF!</v>
      </c>
      <c r="GE1" t="e">
        <f>AND(#REF!,"AAAAADTr3bo=")</f>
        <v>#REF!</v>
      </c>
      <c r="GF1" t="e">
        <f>AND(#REF!,"AAAAADTr3bs=")</f>
        <v>#REF!</v>
      </c>
      <c r="GG1" t="e">
        <f>AND(#REF!,"AAAAADTr3bw=")</f>
        <v>#REF!</v>
      </c>
      <c r="GH1" t="e">
        <f>AND(#REF!,"AAAAADTr3b0=")</f>
        <v>#REF!</v>
      </c>
      <c r="GI1" t="e">
        <f>IF(#REF!,"AAAAADTr3b4=",0)</f>
        <v>#REF!</v>
      </c>
      <c r="GJ1" t="e">
        <f>AND(#REF!,"AAAAADTr3b8=")</f>
        <v>#REF!</v>
      </c>
      <c r="GK1" t="e">
        <f>AND(#REF!,"AAAAADTr3cA=")</f>
        <v>#REF!</v>
      </c>
      <c r="GL1" t="e">
        <f>AND(#REF!,"AAAAADTr3cE=")</f>
        <v>#REF!</v>
      </c>
      <c r="GM1" t="e">
        <f>AND(#REF!,"AAAAADTr3cI=")</f>
        <v>#REF!</v>
      </c>
      <c r="GN1" t="e">
        <f>AND(#REF!,"AAAAADTr3cM=")</f>
        <v>#REF!</v>
      </c>
      <c r="GO1" t="e">
        <f>AND(#REF!,"AAAAADTr3cQ=")</f>
        <v>#REF!</v>
      </c>
      <c r="GP1" t="e">
        <f>AND(#REF!,"AAAAADTr3cU=")</f>
        <v>#REF!</v>
      </c>
      <c r="GQ1" t="e">
        <f>AND(#REF!,"AAAAADTr3cY=")</f>
        <v>#REF!</v>
      </c>
      <c r="GR1" t="e">
        <f>AND(#REF!,"AAAAADTr3cc=")</f>
        <v>#REF!</v>
      </c>
      <c r="GS1" t="e">
        <f>IF(#REF!,"AAAAADTr3cg=",0)</f>
        <v>#REF!</v>
      </c>
      <c r="GT1" t="e">
        <f>AND(#REF!,"AAAAADTr3ck=")</f>
        <v>#REF!</v>
      </c>
      <c r="GU1" t="e">
        <f>AND(#REF!,"AAAAADTr3co=")</f>
        <v>#REF!</v>
      </c>
      <c r="GV1" t="e">
        <f>AND(#REF!,"AAAAADTr3cs=")</f>
        <v>#REF!</v>
      </c>
      <c r="GW1" t="e">
        <f>AND(#REF!,"AAAAADTr3cw=")</f>
        <v>#REF!</v>
      </c>
      <c r="GX1" t="e">
        <f>AND(#REF!,"AAAAADTr3c0=")</f>
        <v>#REF!</v>
      </c>
      <c r="GY1" t="e">
        <f>AND(#REF!,"AAAAADTr3c4=")</f>
        <v>#REF!</v>
      </c>
      <c r="GZ1" t="e">
        <f>AND(#REF!,"AAAAADTr3c8=")</f>
        <v>#REF!</v>
      </c>
      <c r="HA1" t="e">
        <f>AND(#REF!,"AAAAADTr3dA=")</f>
        <v>#REF!</v>
      </c>
      <c r="HB1" t="e">
        <f>AND(#REF!,"AAAAADTr3dE=")</f>
        <v>#REF!</v>
      </c>
      <c r="HC1" t="e">
        <f>IF(#REF!,"AAAAADTr3dI=",0)</f>
        <v>#REF!</v>
      </c>
      <c r="HD1" t="e">
        <f>AND(#REF!,"AAAAADTr3dM=")</f>
        <v>#REF!</v>
      </c>
      <c r="HE1" t="e">
        <f>AND(#REF!,"AAAAADTr3dQ=")</f>
        <v>#REF!</v>
      </c>
      <c r="HF1" t="e">
        <f>AND(#REF!,"AAAAADTr3dU=")</f>
        <v>#REF!</v>
      </c>
      <c r="HG1" t="e">
        <f>AND(#REF!,"AAAAADTr3dY=")</f>
        <v>#REF!</v>
      </c>
      <c r="HH1" t="e">
        <f>AND(#REF!,"AAAAADTr3dc=")</f>
        <v>#REF!</v>
      </c>
      <c r="HI1" t="e">
        <f>AND(#REF!,"AAAAADTr3dg=")</f>
        <v>#REF!</v>
      </c>
      <c r="HJ1" t="e">
        <f>AND(#REF!,"AAAAADTr3dk=")</f>
        <v>#REF!</v>
      </c>
      <c r="HK1" t="e">
        <f>AND(#REF!,"AAAAADTr3do=")</f>
        <v>#REF!</v>
      </c>
      <c r="HL1" t="e">
        <f>AND(#REF!,"AAAAADTr3ds=")</f>
        <v>#REF!</v>
      </c>
      <c r="HM1" t="e">
        <f>IF(#REF!,"AAAAADTr3dw=",0)</f>
        <v>#REF!</v>
      </c>
      <c r="HN1" t="e">
        <f>AND(#REF!,"AAAAADTr3d0=")</f>
        <v>#REF!</v>
      </c>
      <c r="HO1" t="e">
        <f>AND(#REF!,"AAAAADTr3d4=")</f>
        <v>#REF!</v>
      </c>
      <c r="HP1" t="e">
        <f>AND(#REF!,"AAAAADTr3d8=")</f>
        <v>#REF!</v>
      </c>
      <c r="HQ1" t="e">
        <f>AND(#REF!,"AAAAADTr3eA=")</f>
        <v>#REF!</v>
      </c>
      <c r="HR1" t="e">
        <f>AND(#REF!,"AAAAADTr3eE=")</f>
        <v>#REF!</v>
      </c>
      <c r="HS1" t="e">
        <f>AND(#REF!,"AAAAADTr3eI=")</f>
        <v>#REF!</v>
      </c>
      <c r="HT1" t="e">
        <f>AND(#REF!,"AAAAADTr3eM=")</f>
        <v>#REF!</v>
      </c>
      <c r="HU1" t="e">
        <f>AND(#REF!,"AAAAADTr3eQ=")</f>
        <v>#REF!</v>
      </c>
      <c r="HV1" t="e">
        <f>AND(#REF!,"AAAAADTr3eU=")</f>
        <v>#REF!</v>
      </c>
      <c r="HW1" t="e">
        <f>IF(#REF!,"AAAAADTr3eY=",0)</f>
        <v>#REF!</v>
      </c>
      <c r="HX1" t="e">
        <f>AND(#REF!,"AAAAADTr3ec=")</f>
        <v>#REF!</v>
      </c>
      <c r="HY1" t="e">
        <f>AND(#REF!,"AAAAADTr3eg=")</f>
        <v>#REF!</v>
      </c>
      <c r="HZ1" t="e">
        <f>AND(#REF!,"AAAAADTr3ek=")</f>
        <v>#REF!</v>
      </c>
      <c r="IA1" t="e">
        <f>AND(#REF!,"AAAAADTr3eo=")</f>
        <v>#REF!</v>
      </c>
      <c r="IB1" t="e">
        <f>AND(#REF!,"AAAAADTr3es=")</f>
        <v>#REF!</v>
      </c>
      <c r="IC1" t="e">
        <f>AND(#REF!,"AAAAADTr3ew=")</f>
        <v>#REF!</v>
      </c>
      <c r="ID1" t="e">
        <f>AND(#REF!,"AAAAADTr3e0=")</f>
        <v>#REF!</v>
      </c>
      <c r="IE1" t="e">
        <f>AND(#REF!,"AAAAADTr3e4=")</f>
        <v>#REF!</v>
      </c>
      <c r="IF1" t="e">
        <f>AND(#REF!,"AAAAADTr3e8=")</f>
        <v>#REF!</v>
      </c>
      <c r="IG1" t="e">
        <f>IF(#REF!,"AAAAADTr3fA=",0)</f>
        <v>#REF!</v>
      </c>
      <c r="IH1" t="e">
        <f>AND(#REF!,"AAAAADTr3fE=")</f>
        <v>#REF!</v>
      </c>
      <c r="II1" t="e">
        <f>AND(#REF!,"AAAAADTr3fI=")</f>
        <v>#REF!</v>
      </c>
      <c r="IJ1" t="e">
        <f>AND(#REF!,"AAAAADTr3fM=")</f>
        <v>#REF!</v>
      </c>
      <c r="IK1" t="e">
        <f>AND(#REF!,"AAAAADTr3fQ=")</f>
        <v>#REF!</v>
      </c>
      <c r="IL1" t="e">
        <f>AND(#REF!,"AAAAADTr3fU=")</f>
        <v>#REF!</v>
      </c>
      <c r="IM1" t="e">
        <f>AND(#REF!,"AAAAADTr3fY=")</f>
        <v>#REF!</v>
      </c>
      <c r="IN1" t="e">
        <f>AND(#REF!,"AAAAADTr3fc=")</f>
        <v>#REF!</v>
      </c>
      <c r="IO1" t="e">
        <f>AND(#REF!,"AAAAADTr3fg=")</f>
        <v>#REF!</v>
      </c>
      <c r="IP1" t="e">
        <f>AND(#REF!,"AAAAADTr3fk=")</f>
        <v>#REF!</v>
      </c>
      <c r="IQ1" t="e">
        <f>IF(#REF!,"AAAAADTr3fo=",0)</f>
        <v>#REF!</v>
      </c>
      <c r="IR1" t="e">
        <f>AND(#REF!,"AAAAADTr3fs=")</f>
        <v>#REF!</v>
      </c>
      <c r="IS1" t="e">
        <f>AND(#REF!,"AAAAADTr3fw=")</f>
        <v>#REF!</v>
      </c>
      <c r="IT1" t="e">
        <f>AND(#REF!,"AAAAADTr3f0=")</f>
        <v>#REF!</v>
      </c>
      <c r="IU1" t="e">
        <f>AND(#REF!,"AAAAADTr3f4=")</f>
        <v>#REF!</v>
      </c>
      <c r="IV1" t="e">
        <f>AND(#REF!,"AAAAADTr3f8=")</f>
        <v>#REF!</v>
      </c>
    </row>
    <row r="2" spans="1:256" ht="12.75">
      <c r="A2" t="e">
        <f>AND(#REF!,"AAAAADbvowA=")</f>
        <v>#REF!</v>
      </c>
      <c r="B2" t="e">
        <f>AND(#REF!,"AAAAADbvowE=")</f>
        <v>#REF!</v>
      </c>
      <c r="C2" t="e">
        <f>AND(#REF!,"AAAAADbvowI=")</f>
        <v>#REF!</v>
      </c>
      <c r="D2" t="e">
        <f>AND(#REF!,"AAAAADbvowM=")</f>
        <v>#REF!</v>
      </c>
      <c r="E2" t="e">
        <f>IF(#REF!,"AAAAADbvowQ=",0)</f>
        <v>#REF!</v>
      </c>
      <c r="F2" t="e">
        <f>AND(#REF!,"AAAAADbvowU=")</f>
        <v>#REF!</v>
      </c>
      <c r="G2" t="e">
        <f>AND(#REF!,"AAAAADbvowY=")</f>
        <v>#REF!</v>
      </c>
      <c r="H2" t="e">
        <f>AND(#REF!,"AAAAADbvowc=")</f>
        <v>#REF!</v>
      </c>
      <c r="I2" t="e">
        <f>AND(#REF!,"AAAAADbvowg=")</f>
        <v>#REF!</v>
      </c>
      <c r="J2" t="e">
        <f>AND(#REF!,"AAAAADbvowk=")</f>
        <v>#REF!</v>
      </c>
      <c r="K2" t="e">
        <f>AND(#REF!,"AAAAADbvowo=")</f>
        <v>#REF!</v>
      </c>
      <c r="L2" t="e">
        <f>AND(#REF!,"AAAAADbvows=")</f>
        <v>#REF!</v>
      </c>
      <c r="M2" t="e">
        <f>AND(#REF!,"AAAAADbvoww=")</f>
        <v>#REF!</v>
      </c>
      <c r="N2" t="e">
        <f>AND(#REF!,"AAAAADbvow0=")</f>
        <v>#REF!</v>
      </c>
      <c r="O2" t="e">
        <f>IF(#REF!,"AAAAADbvow4=",0)</f>
        <v>#REF!</v>
      </c>
      <c r="P2" t="e">
        <f>AND(#REF!,"AAAAADbvow8=")</f>
        <v>#REF!</v>
      </c>
      <c r="Q2" t="e">
        <f>AND(#REF!,"AAAAADbvoxA=")</f>
        <v>#REF!</v>
      </c>
      <c r="R2" t="e">
        <f>AND(#REF!,"AAAAADbvoxE=")</f>
        <v>#REF!</v>
      </c>
      <c r="S2" t="e">
        <f>AND(#REF!,"AAAAADbvoxI=")</f>
        <v>#REF!</v>
      </c>
      <c r="T2" t="e">
        <f>AND(#REF!,"AAAAADbvoxM=")</f>
        <v>#REF!</v>
      </c>
      <c r="U2" t="e">
        <f>AND(#REF!,"AAAAADbvoxQ=")</f>
        <v>#REF!</v>
      </c>
      <c r="V2" t="e">
        <f>AND(#REF!,"AAAAADbvoxU=")</f>
        <v>#REF!</v>
      </c>
      <c r="W2" t="e">
        <f>AND(#REF!,"AAAAADbvoxY=")</f>
        <v>#REF!</v>
      </c>
      <c r="X2" t="e">
        <f>AND(#REF!,"AAAAADbvoxc=")</f>
        <v>#REF!</v>
      </c>
      <c r="Y2" t="e">
        <f>IF(#REF!,"AAAAADbvoxg=",0)</f>
        <v>#REF!</v>
      </c>
      <c r="Z2" t="e">
        <f>AND(#REF!,"AAAAADbvoxk=")</f>
        <v>#REF!</v>
      </c>
      <c r="AA2" t="e">
        <f>AND(#REF!,"AAAAADbvoxo=")</f>
        <v>#REF!</v>
      </c>
      <c r="AB2" t="e">
        <f>AND(#REF!,"AAAAADbvoxs=")</f>
        <v>#REF!</v>
      </c>
      <c r="AC2" t="e">
        <f>AND(#REF!,"AAAAADbvoxw=")</f>
        <v>#REF!</v>
      </c>
      <c r="AD2" t="e">
        <f>AND(#REF!,"AAAAADbvox0=")</f>
        <v>#REF!</v>
      </c>
      <c r="AE2" t="e">
        <f>AND(#REF!,"AAAAADbvox4=")</f>
        <v>#REF!</v>
      </c>
      <c r="AF2" t="e">
        <f>AND(#REF!,"AAAAADbvox8=")</f>
        <v>#REF!</v>
      </c>
      <c r="AG2" t="e">
        <f>AND(#REF!,"AAAAADbvoyA=")</f>
        <v>#REF!</v>
      </c>
      <c r="AH2" t="e">
        <f>AND(#REF!,"AAAAADbvoyE=")</f>
        <v>#REF!</v>
      </c>
      <c r="AI2" t="e">
        <f>IF(#REF!,"AAAAADbvoyI=",0)</f>
        <v>#REF!</v>
      </c>
      <c r="AJ2" t="e">
        <f>AND(#REF!,"AAAAADbvoyM=")</f>
        <v>#REF!</v>
      </c>
      <c r="AK2" t="e">
        <f>AND(#REF!,"AAAAADbvoyQ=")</f>
        <v>#REF!</v>
      </c>
      <c r="AL2" t="e">
        <f>AND(#REF!,"AAAAADbvoyU=")</f>
        <v>#REF!</v>
      </c>
      <c r="AM2" t="e">
        <f>AND(#REF!,"AAAAADbvoyY=")</f>
        <v>#REF!</v>
      </c>
      <c r="AN2" t="e">
        <f>AND(#REF!,"AAAAADbvoyc=")</f>
        <v>#REF!</v>
      </c>
      <c r="AO2" t="e">
        <f>AND(#REF!,"AAAAADbvoyg=")</f>
        <v>#REF!</v>
      </c>
      <c r="AP2" t="e">
        <f>AND(#REF!,"AAAAADbvoyk=")</f>
        <v>#REF!</v>
      </c>
      <c r="AQ2" t="e">
        <f>AND(#REF!,"AAAAADbvoyo=")</f>
        <v>#REF!</v>
      </c>
      <c r="AR2" t="e">
        <f>AND(#REF!,"AAAAADbvoys=")</f>
        <v>#REF!</v>
      </c>
      <c r="AS2" t="e">
        <f>IF(#REF!,"AAAAADbvoyw=",0)</f>
        <v>#REF!</v>
      </c>
      <c r="AT2" t="e">
        <f>AND(#REF!,"AAAAADbvoy0=")</f>
        <v>#REF!</v>
      </c>
      <c r="AU2" t="e">
        <f>AND(#REF!,"AAAAADbvoy4=")</f>
        <v>#REF!</v>
      </c>
      <c r="AV2" t="e">
        <f>AND(#REF!,"AAAAADbvoy8=")</f>
        <v>#REF!</v>
      </c>
      <c r="AW2" t="e">
        <f>AND(#REF!,"AAAAADbvozA=")</f>
        <v>#REF!</v>
      </c>
      <c r="AX2" t="e">
        <f>AND(#REF!,"AAAAADbvozE=")</f>
        <v>#REF!</v>
      </c>
      <c r="AY2" t="e">
        <f>AND(#REF!,"AAAAADbvozI=")</f>
        <v>#REF!</v>
      </c>
      <c r="AZ2" t="e">
        <f>AND(#REF!,"AAAAADbvozM=")</f>
        <v>#REF!</v>
      </c>
      <c r="BA2" t="e">
        <f>AND(#REF!,"AAAAADbvozQ=")</f>
        <v>#REF!</v>
      </c>
      <c r="BB2" t="e">
        <f>AND(#REF!,"AAAAADbvozU=")</f>
        <v>#REF!</v>
      </c>
      <c r="BC2" t="e">
        <f>IF(#REF!,"AAAAADbvozY=",0)</f>
        <v>#REF!</v>
      </c>
      <c r="BD2" t="e">
        <f>AND(#REF!,"AAAAADbvozc=")</f>
        <v>#REF!</v>
      </c>
      <c r="BE2" t="e">
        <f>AND(#REF!,"AAAAADbvozg=")</f>
        <v>#REF!</v>
      </c>
      <c r="BF2" t="e">
        <f>AND(#REF!,"AAAAADbvozk=")</f>
        <v>#REF!</v>
      </c>
      <c r="BG2" t="e">
        <f>AND(#REF!,"AAAAADbvozo=")</f>
        <v>#REF!</v>
      </c>
      <c r="BH2" t="e">
        <f>AND(#REF!,"AAAAADbvozs=")</f>
        <v>#REF!</v>
      </c>
      <c r="BI2" t="e">
        <f>AND(#REF!,"AAAAADbvozw=")</f>
        <v>#REF!</v>
      </c>
      <c r="BJ2" t="e">
        <f>AND(#REF!,"AAAAADbvoz0=")</f>
        <v>#REF!</v>
      </c>
      <c r="BK2" t="e">
        <f>AND(#REF!,"AAAAADbvoz4=")</f>
        <v>#REF!</v>
      </c>
      <c r="BL2" t="e">
        <f>AND(#REF!,"AAAAADbvoz8=")</f>
        <v>#REF!</v>
      </c>
      <c r="BM2" t="e">
        <f>IF(#REF!,"AAAAADbvo0A=",0)</f>
        <v>#REF!</v>
      </c>
      <c r="BN2" t="e">
        <f>AND(#REF!,"AAAAADbvo0E=")</f>
        <v>#REF!</v>
      </c>
      <c r="BO2" t="e">
        <f>AND(#REF!,"AAAAADbvo0I=")</f>
        <v>#REF!</v>
      </c>
      <c r="BP2" t="e">
        <f>AND(#REF!,"AAAAADbvo0M=")</f>
        <v>#REF!</v>
      </c>
      <c r="BQ2" t="e">
        <f>AND(#REF!,"AAAAADbvo0Q=")</f>
        <v>#REF!</v>
      </c>
      <c r="BR2" t="e">
        <f>AND(#REF!,"AAAAADbvo0U=")</f>
        <v>#REF!</v>
      </c>
      <c r="BS2" t="e">
        <f>AND(#REF!,"AAAAADbvo0Y=")</f>
        <v>#REF!</v>
      </c>
      <c r="BT2" t="e">
        <f>AND(#REF!,"AAAAADbvo0c=")</f>
        <v>#REF!</v>
      </c>
      <c r="BU2" t="e">
        <f>AND(#REF!,"AAAAADbvo0g=")</f>
        <v>#REF!</v>
      </c>
      <c r="BV2" t="e">
        <f>AND(#REF!,"AAAAADbvo0k=")</f>
        <v>#REF!</v>
      </c>
      <c r="BW2" t="e">
        <f>IF(#REF!,"AAAAADbvo0o=",0)</f>
        <v>#REF!</v>
      </c>
      <c r="BX2" t="e">
        <f>AND(#REF!,"AAAAADbvo0s=")</f>
        <v>#REF!</v>
      </c>
      <c r="BY2" t="e">
        <f>AND(#REF!,"AAAAADbvo0w=")</f>
        <v>#REF!</v>
      </c>
      <c r="BZ2" t="e">
        <f>AND(#REF!,"AAAAADbvo00=")</f>
        <v>#REF!</v>
      </c>
      <c r="CA2" t="e">
        <f>AND(#REF!,"AAAAADbvo04=")</f>
        <v>#REF!</v>
      </c>
      <c r="CB2" t="e">
        <f>AND(#REF!,"AAAAADbvo08=")</f>
        <v>#REF!</v>
      </c>
      <c r="CC2" t="e">
        <f>AND(#REF!,"AAAAADbvo1A=")</f>
        <v>#REF!</v>
      </c>
      <c r="CD2" t="e">
        <f>AND(#REF!,"AAAAADbvo1E=")</f>
        <v>#REF!</v>
      </c>
      <c r="CE2" t="e">
        <f>AND(#REF!,"AAAAADbvo1I=")</f>
        <v>#REF!</v>
      </c>
      <c r="CF2" t="e">
        <f>AND(#REF!,"AAAAADbvo1M=")</f>
        <v>#REF!</v>
      </c>
      <c r="CG2" t="e">
        <f>IF(#REF!,"AAAAADbvo1Q=",0)</f>
        <v>#REF!</v>
      </c>
      <c r="CH2" t="e">
        <f>AND(#REF!,"AAAAADbvo1U=")</f>
        <v>#REF!</v>
      </c>
      <c r="CI2" t="e">
        <f>AND(#REF!,"AAAAADbvo1Y=")</f>
        <v>#REF!</v>
      </c>
      <c r="CJ2" t="e">
        <f>AND(#REF!,"AAAAADbvo1c=")</f>
        <v>#REF!</v>
      </c>
      <c r="CK2" t="e">
        <f>AND(#REF!,"AAAAADbvo1g=")</f>
        <v>#REF!</v>
      </c>
      <c r="CL2" t="e">
        <f>AND(#REF!,"AAAAADbvo1k=")</f>
        <v>#REF!</v>
      </c>
      <c r="CM2" t="e">
        <f>AND(#REF!,"AAAAADbvo1o=")</f>
        <v>#REF!</v>
      </c>
      <c r="CN2" t="e">
        <f>AND(#REF!,"AAAAADbvo1s=")</f>
        <v>#REF!</v>
      </c>
      <c r="CO2" t="e">
        <f>AND(#REF!,"AAAAADbvo1w=")</f>
        <v>#REF!</v>
      </c>
      <c r="CP2" t="e">
        <f>AND(#REF!,"AAAAADbvo10=")</f>
        <v>#REF!</v>
      </c>
      <c r="CQ2" t="e">
        <f>IF(#REF!,"AAAAADbvo14=",0)</f>
        <v>#REF!</v>
      </c>
      <c r="CR2" t="e">
        <f>AND(#REF!,"AAAAADbvo18=")</f>
        <v>#REF!</v>
      </c>
      <c r="CS2" t="e">
        <f>AND(#REF!,"AAAAADbvo2A=")</f>
        <v>#REF!</v>
      </c>
      <c r="CT2" t="e">
        <f>AND(#REF!,"AAAAADbvo2E=")</f>
        <v>#REF!</v>
      </c>
      <c r="CU2" t="e">
        <f>AND(#REF!,"AAAAADbvo2I=")</f>
        <v>#REF!</v>
      </c>
      <c r="CV2" t="e">
        <f>AND(#REF!,"AAAAADbvo2M=")</f>
        <v>#REF!</v>
      </c>
      <c r="CW2" t="e">
        <f>AND(#REF!,"AAAAADbvo2Q=")</f>
        <v>#REF!</v>
      </c>
      <c r="CX2" t="e">
        <f>AND(#REF!,"AAAAADbvo2U=")</f>
        <v>#REF!</v>
      </c>
      <c r="CY2" t="e">
        <f>AND(#REF!,"AAAAADbvo2Y=")</f>
        <v>#REF!</v>
      </c>
      <c r="CZ2" t="e">
        <f>AND(#REF!,"AAAAADbvo2c=")</f>
        <v>#REF!</v>
      </c>
      <c r="DA2" t="e">
        <f>IF(#REF!,"AAAAADbvo2g=",0)</f>
        <v>#REF!</v>
      </c>
      <c r="DB2" t="e">
        <f>AND(#REF!,"AAAAADbvo2k=")</f>
        <v>#REF!</v>
      </c>
      <c r="DC2" t="e">
        <f>AND(#REF!,"AAAAADbvo2o=")</f>
        <v>#REF!</v>
      </c>
      <c r="DD2" t="e">
        <f>AND(#REF!,"AAAAADbvo2s=")</f>
        <v>#REF!</v>
      </c>
      <c r="DE2" t="e">
        <f>AND(#REF!,"AAAAADbvo2w=")</f>
        <v>#REF!</v>
      </c>
      <c r="DF2" t="e">
        <f>AND(#REF!,"AAAAADbvo20=")</f>
        <v>#REF!</v>
      </c>
      <c r="DG2" t="e">
        <f>AND(#REF!,"AAAAADbvo24=")</f>
        <v>#REF!</v>
      </c>
      <c r="DH2" t="e">
        <f>AND(#REF!,"AAAAADbvo28=")</f>
        <v>#REF!</v>
      </c>
      <c r="DI2" t="e">
        <f>AND(#REF!,"AAAAADbvo3A=")</f>
        <v>#REF!</v>
      </c>
      <c r="DJ2" t="e">
        <f>AND(#REF!,"AAAAADbvo3E=")</f>
        <v>#REF!</v>
      </c>
      <c r="DK2" t="e">
        <f>IF(#REF!,"AAAAADbvo3I=",0)</f>
        <v>#REF!</v>
      </c>
      <c r="DL2" t="e">
        <f>AND(#REF!,"AAAAADbvo3M=")</f>
        <v>#REF!</v>
      </c>
      <c r="DM2" t="e">
        <f>AND(#REF!,"AAAAADbvo3Q=")</f>
        <v>#REF!</v>
      </c>
      <c r="DN2" t="e">
        <f>AND(#REF!,"AAAAADbvo3U=")</f>
        <v>#REF!</v>
      </c>
      <c r="DO2" t="e">
        <f>AND(#REF!,"AAAAADbvo3Y=")</f>
        <v>#REF!</v>
      </c>
      <c r="DP2" t="e">
        <f>AND(#REF!,"AAAAADbvo3c=")</f>
        <v>#REF!</v>
      </c>
      <c r="DQ2" t="e">
        <f>AND(#REF!,"AAAAADbvo3g=")</f>
        <v>#REF!</v>
      </c>
      <c r="DR2" t="e">
        <f>AND(#REF!,"AAAAADbvo3k=")</f>
        <v>#REF!</v>
      </c>
      <c r="DS2" t="e">
        <f>AND(#REF!,"AAAAADbvo3o=")</f>
        <v>#REF!</v>
      </c>
      <c r="DT2" t="e">
        <f>AND(#REF!,"AAAAADbvo3s=")</f>
        <v>#REF!</v>
      </c>
      <c r="DU2" t="e">
        <f>IF(#REF!,"AAAAADbvo3w=",0)</f>
        <v>#REF!</v>
      </c>
      <c r="DV2" t="e">
        <f>AND(#REF!,"AAAAADbvo30=")</f>
        <v>#REF!</v>
      </c>
      <c r="DW2" t="e">
        <f>AND(#REF!,"AAAAADbvo34=")</f>
        <v>#REF!</v>
      </c>
      <c r="DX2" t="e">
        <f>AND(#REF!,"AAAAADbvo38=")</f>
        <v>#REF!</v>
      </c>
      <c r="DY2" t="e">
        <f>AND(#REF!,"AAAAADbvo4A=")</f>
        <v>#REF!</v>
      </c>
      <c r="DZ2" t="e">
        <f>AND(#REF!,"AAAAADbvo4E=")</f>
        <v>#REF!</v>
      </c>
      <c r="EA2" t="e">
        <f>AND(#REF!,"AAAAADbvo4I=")</f>
        <v>#REF!</v>
      </c>
      <c r="EB2" t="e">
        <f>AND(#REF!,"AAAAADbvo4M=")</f>
        <v>#REF!</v>
      </c>
      <c r="EC2" t="e">
        <f>AND(#REF!,"AAAAADbvo4Q=")</f>
        <v>#REF!</v>
      </c>
      <c r="ED2" t="e">
        <f>AND(#REF!,"AAAAADbvo4U=")</f>
        <v>#REF!</v>
      </c>
      <c r="EE2" t="e">
        <f>IF(#REF!,"AAAAADbvo4Y=",0)</f>
        <v>#REF!</v>
      </c>
      <c r="EF2" t="e">
        <f>AND(#REF!,"AAAAADbvo4c=")</f>
        <v>#REF!</v>
      </c>
      <c r="EG2" t="e">
        <f>AND(#REF!,"AAAAADbvo4g=")</f>
        <v>#REF!</v>
      </c>
      <c r="EH2" t="e">
        <f>AND(#REF!,"AAAAADbvo4k=")</f>
        <v>#REF!</v>
      </c>
      <c r="EI2" t="e">
        <f>AND(#REF!,"AAAAADbvo4o=")</f>
        <v>#REF!</v>
      </c>
      <c r="EJ2" t="e">
        <f>AND(#REF!,"AAAAADbvo4s=")</f>
        <v>#REF!</v>
      </c>
      <c r="EK2" t="e">
        <f>AND(#REF!,"AAAAADbvo4w=")</f>
        <v>#REF!</v>
      </c>
      <c r="EL2" t="e">
        <f>AND(#REF!,"AAAAADbvo40=")</f>
        <v>#REF!</v>
      </c>
      <c r="EM2" t="e">
        <f>AND(#REF!,"AAAAADbvo44=")</f>
        <v>#REF!</v>
      </c>
      <c r="EN2" t="e">
        <f>AND(#REF!,"AAAAADbvo48=")</f>
        <v>#REF!</v>
      </c>
      <c r="EO2" t="e">
        <f>IF(#REF!,"AAAAADbvo5A=",0)</f>
        <v>#REF!</v>
      </c>
      <c r="EP2" t="e">
        <f>AND(#REF!,"AAAAADbvo5E=")</f>
        <v>#REF!</v>
      </c>
      <c r="EQ2" t="e">
        <f>AND(#REF!,"AAAAADbvo5I=")</f>
        <v>#REF!</v>
      </c>
      <c r="ER2" t="e">
        <f>AND(#REF!,"AAAAADbvo5M=")</f>
        <v>#REF!</v>
      </c>
      <c r="ES2" t="e">
        <f>AND(#REF!,"AAAAADbvo5Q=")</f>
        <v>#REF!</v>
      </c>
      <c r="ET2" t="e">
        <f>AND(#REF!,"AAAAADbvo5U=")</f>
        <v>#REF!</v>
      </c>
      <c r="EU2" t="e">
        <f>AND(#REF!,"AAAAADbvo5Y=")</f>
        <v>#REF!</v>
      </c>
      <c r="EV2" t="e">
        <f>AND(#REF!,"AAAAADbvo5c=")</f>
        <v>#REF!</v>
      </c>
      <c r="EW2" t="e">
        <f>AND(#REF!,"AAAAADbvo5g=")</f>
        <v>#REF!</v>
      </c>
      <c r="EX2" t="e">
        <f>AND(#REF!,"AAAAADbvo5k=")</f>
        <v>#REF!</v>
      </c>
      <c r="EY2" t="e">
        <f>IF(#REF!,"AAAAADbvo5o=",0)</f>
        <v>#REF!</v>
      </c>
      <c r="EZ2" t="e">
        <f>AND(#REF!,"AAAAADbvo5s=")</f>
        <v>#REF!</v>
      </c>
      <c r="FA2" t="e">
        <f>AND(#REF!,"AAAAADbvo5w=")</f>
        <v>#REF!</v>
      </c>
      <c r="FB2" t="e">
        <f>AND(#REF!,"AAAAADbvo50=")</f>
        <v>#REF!</v>
      </c>
      <c r="FC2" t="e">
        <f>AND(#REF!,"AAAAADbvo54=")</f>
        <v>#REF!</v>
      </c>
      <c r="FD2" t="e">
        <f>AND(#REF!,"AAAAADbvo58=")</f>
        <v>#REF!</v>
      </c>
      <c r="FE2" t="e">
        <f>AND(#REF!,"AAAAADbvo6A=")</f>
        <v>#REF!</v>
      </c>
      <c r="FF2" t="e">
        <f>AND(#REF!,"AAAAADbvo6E=")</f>
        <v>#REF!</v>
      </c>
      <c r="FG2" t="e">
        <f>AND(#REF!,"AAAAADbvo6I=")</f>
        <v>#REF!</v>
      </c>
      <c r="FH2" t="e">
        <f>AND(#REF!,"AAAAADbvo6M=")</f>
        <v>#REF!</v>
      </c>
      <c r="FI2" t="e">
        <f>IF(#REF!,"AAAAADbvo6Q=",0)</f>
        <v>#REF!</v>
      </c>
      <c r="FJ2" t="e">
        <f>AND(#REF!,"AAAAADbvo6U=")</f>
        <v>#REF!</v>
      </c>
      <c r="FK2" t="e">
        <f>AND(#REF!,"AAAAADbvo6Y=")</f>
        <v>#REF!</v>
      </c>
      <c r="FL2" t="e">
        <f>AND(#REF!,"AAAAADbvo6c=")</f>
        <v>#REF!</v>
      </c>
      <c r="FM2" t="e">
        <f>AND(#REF!,"AAAAADbvo6g=")</f>
        <v>#REF!</v>
      </c>
      <c r="FN2" t="e">
        <f>AND(#REF!,"AAAAADbvo6k=")</f>
        <v>#REF!</v>
      </c>
      <c r="FO2" t="e">
        <f>AND(#REF!,"AAAAADbvo6o=")</f>
        <v>#REF!</v>
      </c>
      <c r="FP2" t="e">
        <f>AND(#REF!,"AAAAADbvo6s=")</f>
        <v>#REF!</v>
      </c>
      <c r="FQ2" t="e">
        <f>AND(#REF!,"AAAAADbvo6w=")</f>
        <v>#REF!</v>
      </c>
      <c r="FR2" t="e">
        <f>AND(#REF!,"AAAAADbvo60=")</f>
        <v>#REF!</v>
      </c>
      <c r="FS2" t="e">
        <f>IF(#REF!,"AAAAADbvo64=",0)</f>
        <v>#REF!</v>
      </c>
      <c r="FT2" t="e">
        <f>AND(#REF!,"AAAAADbvo68=")</f>
        <v>#REF!</v>
      </c>
      <c r="FU2" t="e">
        <f>AND(#REF!,"AAAAADbvo7A=")</f>
        <v>#REF!</v>
      </c>
      <c r="FV2" t="e">
        <f>AND(#REF!,"AAAAADbvo7E=")</f>
        <v>#REF!</v>
      </c>
      <c r="FW2" t="e">
        <f>AND(#REF!,"AAAAADbvo7I=")</f>
        <v>#REF!</v>
      </c>
      <c r="FX2" t="e">
        <f>AND(#REF!,"AAAAADbvo7M=")</f>
        <v>#REF!</v>
      </c>
      <c r="FY2" t="e">
        <f>AND(#REF!,"AAAAADbvo7Q=")</f>
        <v>#REF!</v>
      </c>
      <c r="FZ2" t="e">
        <f>AND(#REF!,"AAAAADbvo7U=")</f>
        <v>#REF!</v>
      </c>
      <c r="GA2" t="e">
        <f>AND(#REF!,"AAAAADbvo7Y=")</f>
        <v>#REF!</v>
      </c>
      <c r="GB2" t="e">
        <f>AND(#REF!,"AAAAADbvo7c=")</f>
        <v>#REF!</v>
      </c>
      <c r="GC2" t="e">
        <f>IF(#REF!,"AAAAADbvo7g=",0)</f>
        <v>#REF!</v>
      </c>
      <c r="GD2" t="e">
        <f>AND(#REF!,"AAAAADbvo7k=")</f>
        <v>#REF!</v>
      </c>
      <c r="GE2" t="e">
        <f>AND(#REF!,"AAAAADbvo7o=")</f>
        <v>#REF!</v>
      </c>
      <c r="GF2" t="e">
        <f>AND(#REF!,"AAAAADbvo7s=")</f>
        <v>#REF!</v>
      </c>
      <c r="GG2" t="e">
        <f>AND(#REF!,"AAAAADbvo7w=")</f>
        <v>#REF!</v>
      </c>
      <c r="GH2" t="e">
        <f>AND(#REF!,"AAAAADbvo70=")</f>
        <v>#REF!</v>
      </c>
      <c r="GI2" t="e">
        <f>AND(#REF!,"AAAAADbvo74=")</f>
        <v>#REF!</v>
      </c>
      <c r="GJ2" t="e">
        <f>AND(#REF!,"AAAAADbvo78=")</f>
        <v>#REF!</v>
      </c>
      <c r="GK2" t="e">
        <f>AND(#REF!,"AAAAADbvo8A=")</f>
        <v>#REF!</v>
      </c>
      <c r="GL2" t="e">
        <f>AND(#REF!,"AAAAADbvo8E=")</f>
        <v>#REF!</v>
      </c>
      <c r="GM2" t="e">
        <f>IF(#REF!,"AAAAADbvo8I=",0)</f>
        <v>#REF!</v>
      </c>
      <c r="GN2" t="e">
        <f>AND(#REF!,"AAAAADbvo8M=")</f>
        <v>#REF!</v>
      </c>
      <c r="GO2" t="e">
        <f>AND(#REF!,"AAAAADbvo8Q=")</f>
        <v>#REF!</v>
      </c>
      <c r="GP2" t="e">
        <f>AND(#REF!,"AAAAADbvo8U=")</f>
        <v>#REF!</v>
      </c>
      <c r="GQ2" t="e">
        <f>AND(#REF!,"AAAAADbvo8Y=")</f>
        <v>#REF!</v>
      </c>
      <c r="GR2" t="e">
        <f>AND(#REF!,"AAAAADbvo8c=")</f>
        <v>#REF!</v>
      </c>
      <c r="GS2" t="e">
        <f>AND(#REF!,"AAAAADbvo8g=")</f>
        <v>#REF!</v>
      </c>
      <c r="GT2" t="e">
        <f>AND(#REF!,"AAAAADbvo8k=")</f>
        <v>#REF!</v>
      </c>
      <c r="GU2" t="e">
        <f>AND(#REF!,"AAAAADbvo8o=")</f>
        <v>#REF!</v>
      </c>
      <c r="GV2" t="e">
        <f>AND(#REF!,"AAAAADbvo8s=")</f>
        <v>#REF!</v>
      </c>
      <c r="GW2" t="e">
        <f>IF(#REF!,"AAAAADbvo8w=",0)</f>
        <v>#REF!</v>
      </c>
      <c r="GX2" t="e">
        <f>AND(#REF!,"AAAAADbvo80=")</f>
        <v>#REF!</v>
      </c>
      <c r="GY2" t="e">
        <f>AND(#REF!,"AAAAADbvo84=")</f>
        <v>#REF!</v>
      </c>
      <c r="GZ2" t="e">
        <f>AND(#REF!,"AAAAADbvo88=")</f>
        <v>#REF!</v>
      </c>
      <c r="HA2" t="e">
        <f>AND(#REF!,"AAAAADbvo9A=")</f>
        <v>#REF!</v>
      </c>
      <c r="HB2" t="e">
        <f>AND(#REF!,"AAAAADbvo9E=")</f>
        <v>#REF!</v>
      </c>
      <c r="HC2" t="e">
        <f>AND(#REF!,"AAAAADbvo9I=")</f>
        <v>#REF!</v>
      </c>
      <c r="HD2" t="e">
        <f>AND(#REF!,"AAAAADbvo9M=")</f>
        <v>#REF!</v>
      </c>
      <c r="HE2" t="e">
        <f>AND(#REF!,"AAAAADbvo9Q=")</f>
        <v>#REF!</v>
      </c>
      <c r="HF2" t="e">
        <f>AND(#REF!,"AAAAADbvo9U=")</f>
        <v>#REF!</v>
      </c>
      <c r="HG2" t="e">
        <f>IF(#REF!,"AAAAADbvo9Y=",0)</f>
        <v>#REF!</v>
      </c>
      <c r="HH2" t="e">
        <f>AND(#REF!,"AAAAADbvo9c=")</f>
        <v>#REF!</v>
      </c>
      <c r="HI2" t="e">
        <f>AND(#REF!,"AAAAADbvo9g=")</f>
        <v>#REF!</v>
      </c>
      <c r="HJ2" t="e">
        <f>AND(#REF!,"AAAAADbvo9k=")</f>
        <v>#REF!</v>
      </c>
      <c r="HK2" t="e">
        <f>AND(#REF!,"AAAAADbvo9o=")</f>
        <v>#REF!</v>
      </c>
      <c r="HL2" t="e">
        <f>AND(#REF!,"AAAAADbvo9s=")</f>
        <v>#REF!</v>
      </c>
      <c r="HM2" t="e">
        <f>AND(#REF!,"AAAAADbvo9w=")</f>
        <v>#REF!</v>
      </c>
      <c r="HN2" t="e">
        <f>AND(#REF!,"AAAAADbvo90=")</f>
        <v>#REF!</v>
      </c>
      <c r="HO2" t="e">
        <f>AND(#REF!,"AAAAADbvo94=")</f>
        <v>#REF!</v>
      </c>
      <c r="HP2" t="e">
        <f>AND(#REF!,"AAAAADbvo98=")</f>
        <v>#REF!</v>
      </c>
      <c r="HQ2" t="e">
        <f>IF(#REF!,"AAAAADbvo+A=",0)</f>
        <v>#REF!</v>
      </c>
      <c r="HR2" t="e">
        <f>AND(#REF!,"AAAAADbvo+E=")</f>
        <v>#REF!</v>
      </c>
      <c r="HS2" t="e">
        <f>AND(#REF!,"AAAAADbvo+I=")</f>
        <v>#REF!</v>
      </c>
      <c r="HT2" t="e">
        <f>AND(#REF!,"AAAAADbvo+M=")</f>
        <v>#REF!</v>
      </c>
      <c r="HU2" t="e">
        <f>AND(#REF!,"AAAAADbvo+Q=")</f>
        <v>#REF!</v>
      </c>
      <c r="HV2" t="e">
        <f>AND(#REF!,"AAAAADbvo+U=")</f>
        <v>#REF!</v>
      </c>
      <c r="HW2" t="e">
        <f>AND(#REF!,"AAAAADbvo+Y=")</f>
        <v>#REF!</v>
      </c>
      <c r="HX2" t="e">
        <f>AND(#REF!,"AAAAADbvo+c=")</f>
        <v>#REF!</v>
      </c>
      <c r="HY2" t="e">
        <f>AND(#REF!,"AAAAADbvo+g=")</f>
        <v>#REF!</v>
      </c>
      <c r="HZ2" t="e">
        <f>AND(#REF!,"AAAAADbvo+k=")</f>
        <v>#REF!</v>
      </c>
      <c r="IA2" t="e">
        <f>IF(#REF!,"AAAAADbvo+o=",0)</f>
        <v>#REF!</v>
      </c>
      <c r="IB2" t="e">
        <f>AND(#REF!,"AAAAADbvo+s=")</f>
        <v>#REF!</v>
      </c>
      <c r="IC2" t="e">
        <f>AND(#REF!,"AAAAADbvo+w=")</f>
        <v>#REF!</v>
      </c>
      <c r="ID2" t="e">
        <f>AND(#REF!,"AAAAADbvo+0=")</f>
        <v>#REF!</v>
      </c>
      <c r="IE2" t="e">
        <f>AND(#REF!,"AAAAADbvo+4=")</f>
        <v>#REF!</v>
      </c>
      <c r="IF2" t="e">
        <f>AND(#REF!,"AAAAADbvo+8=")</f>
        <v>#REF!</v>
      </c>
      <c r="IG2" t="e">
        <f>AND(#REF!,"AAAAADbvo/A=")</f>
        <v>#REF!</v>
      </c>
      <c r="IH2" t="e">
        <f>AND(#REF!,"AAAAADbvo/E=")</f>
        <v>#REF!</v>
      </c>
      <c r="II2" t="e">
        <f>AND(#REF!,"AAAAADbvo/I=")</f>
        <v>#REF!</v>
      </c>
      <c r="IJ2" t="e">
        <f>AND(#REF!,"AAAAADbvo/M=")</f>
        <v>#REF!</v>
      </c>
      <c r="IK2" t="e">
        <f>IF(#REF!,"AAAAADbvo/Q=",0)</f>
        <v>#REF!</v>
      </c>
      <c r="IL2" t="e">
        <f>AND(#REF!,"AAAAADbvo/U=")</f>
        <v>#REF!</v>
      </c>
      <c r="IM2" t="e">
        <f>AND(#REF!,"AAAAADbvo/Y=")</f>
        <v>#REF!</v>
      </c>
      <c r="IN2" t="e">
        <f>AND(#REF!,"AAAAADbvo/c=")</f>
        <v>#REF!</v>
      </c>
      <c r="IO2" t="e">
        <f>AND(#REF!,"AAAAADbvo/g=")</f>
        <v>#REF!</v>
      </c>
      <c r="IP2" t="e">
        <f>AND(#REF!,"AAAAADbvo/k=")</f>
        <v>#REF!</v>
      </c>
      <c r="IQ2" t="e">
        <f>AND(#REF!,"AAAAADbvo/o=")</f>
        <v>#REF!</v>
      </c>
      <c r="IR2" t="e">
        <f>AND(#REF!,"AAAAADbvo/s=")</f>
        <v>#REF!</v>
      </c>
      <c r="IS2" t="e">
        <f>AND(#REF!,"AAAAADbvo/w=")</f>
        <v>#REF!</v>
      </c>
      <c r="IT2" t="e">
        <f>AND(#REF!,"AAAAADbvo/0=")</f>
        <v>#REF!</v>
      </c>
      <c r="IU2" t="e">
        <f>IF(#REF!,"AAAAADbvo/4=",0)</f>
        <v>#REF!</v>
      </c>
      <c r="IV2" t="e">
        <f>AND(#REF!,"AAAAADbvo/8=")</f>
        <v>#REF!</v>
      </c>
    </row>
    <row r="3" spans="1:256" ht="12.75">
      <c r="A3" t="e">
        <f>AND(#REF!,"AAAAAE3v/wA=")</f>
        <v>#REF!</v>
      </c>
      <c r="B3" t="e">
        <f>AND(#REF!,"AAAAAE3v/wE=")</f>
        <v>#REF!</v>
      </c>
      <c r="C3" t="e">
        <f>AND(#REF!,"AAAAAE3v/wI=")</f>
        <v>#REF!</v>
      </c>
      <c r="D3" t="e">
        <f>AND(#REF!,"AAAAAE3v/wM=")</f>
        <v>#REF!</v>
      </c>
      <c r="E3" t="e">
        <f>AND(#REF!,"AAAAAE3v/wQ=")</f>
        <v>#REF!</v>
      </c>
      <c r="F3" t="e">
        <f>AND(#REF!,"AAAAAE3v/wU=")</f>
        <v>#REF!</v>
      </c>
      <c r="G3" t="e">
        <f>AND(#REF!,"AAAAAE3v/wY=")</f>
        <v>#REF!</v>
      </c>
      <c r="H3" t="e">
        <f>AND(#REF!,"AAAAAE3v/wc=")</f>
        <v>#REF!</v>
      </c>
      <c r="I3" t="e">
        <f>IF(#REF!,"AAAAAE3v/wg=",0)</f>
        <v>#REF!</v>
      </c>
      <c r="J3" t="e">
        <f>AND(#REF!,"AAAAAE3v/wk=")</f>
        <v>#REF!</v>
      </c>
      <c r="K3" t="e">
        <f>AND(#REF!,"AAAAAE3v/wo=")</f>
        <v>#REF!</v>
      </c>
      <c r="L3" t="e">
        <f>AND(#REF!,"AAAAAE3v/ws=")</f>
        <v>#REF!</v>
      </c>
      <c r="M3" t="e">
        <f>AND(#REF!,"AAAAAE3v/ww=")</f>
        <v>#REF!</v>
      </c>
      <c r="N3" t="e">
        <f>AND(#REF!,"AAAAAE3v/w0=")</f>
        <v>#REF!</v>
      </c>
      <c r="O3" t="e">
        <f>AND(#REF!,"AAAAAE3v/w4=")</f>
        <v>#REF!</v>
      </c>
      <c r="P3" t="e">
        <f>AND(#REF!,"AAAAAE3v/w8=")</f>
        <v>#REF!</v>
      </c>
      <c r="Q3" t="e">
        <f>AND(#REF!,"AAAAAE3v/xA=")</f>
        <v>#REF!</v>
      </c>
      <c r="R3" t="e">
        <f>AND(#REF!,"AAAAAE3v/xE=")</f>
        <v>#REF!</v>
      </c>
      <c r="S3" t="e">
        <f>IF(#REF!,"AAAAAE3v/xI=",0)</f>
        <v>#REF!</v>
      </c>
      <c r="T3" t="e">
        <f>AND(#REF!,"AAAAAE3v/xM=")</f>
        <v>#REF!</v>
      </c>
      <c r="U3" t="e">
        <f>AND(#REF!,"AAAAAE3v/xQ=")</f>
        <v>#REF!</v>
      </c>
      <c r="V3" t="e">
        <f>AND(#REF!,"AAAAAE3v/xU=")</f>
        <v>#REF!</v>
      </c>
      <c r="W3" t="e">
        <f>AND(#REF!,"AAAAAE3v/xY=")</f>
        <v>#REF!</v>
      </c>
      <c r="X3" t="e">
        <f>AND(#REF!,"AAAAAE3v/xc=")</f>
        <v>#REF!</v>
      </c>
      <c r="Y3" t="e">
        <f>AND(#REF!,"AAAAAE3v/xg=")</f>
        <v>#REF!</v>
      </c>
      <c r="Z3" t="e">
        <f>AND(#REF!,"AAAAAE3v/xk=")</f>
        <v>#REF!</v>
      </c>
      <c r="AA3" t="e">
        <f>AND(#REF!,"AAAAAE3v/xo=")</f>
        <v>#REF!</v>
      </c>
      <c r="AB3" t="e">
        <f>AND(#REF!,"AAAAAE3v/xs=")</f>
        <v>#REF!</v>
      </c>
      <c r="AC3" t="e">
        <f>IF(#REF!,"AAAAAE3v/xw=",0)</f>
        <v>#REF!</v>
      </c>
      <c r="AD3" t="e">
        <f>IF(#REF!,"AAAAAE3v/x0=",0)</f>
        <v>#REF!</v>
      </c>
      <c r="AE3" t="e">
        <f>IF(#REF!,"AAAAAE3v/x4=",0)</f>
        <v>#REF!</v>
      </c>
      <c r="AF3" t="e">
        <f>IF(#REF!,"AAAAAE3v/x8=",0)</f>
        <v>#REF!</v>
      </c>
      <c r="AG3" t="e">
        <f>IF(#REF!,"AAAAAE3v/yA=",0)</f>
        <v>#REF!</v>
      </c>
      <c r="AH3" t="e">
        <f>IF(#REF!,"AAAAAE3v/yE=",0)</f>
        <v>#REF!</v>
      </c>
      <c r="AI3" t="e">
        <f>IF(#REF!,"AAAAAE3v/yI=",0)</f>
        <v>#REF!</v>
      </c>
      <c r="AJ3" t="e">
        <f>IF(#REF!,"AAAAAE3v/yM=",0)</f>
        <v>#REF!</v>
      </c>
      <c r="AK3" t="e">
        <f>IF(#REF!,"AAAAAE3v/yQ=",0)</f>
        <v>#REF!</v>
      </c>
      <c r="AL3" t="e">
        <f>IF(#REF!,"AAAAAE3v/yU=",0)</f>
        <v>#REF!</v>
      </c>
      <c r="AM3" t="e">
        <f>AND(#REF!,"AAAAAE3v/yY=")</f>
        <v>#REF!</v>
      </c>
      <c r="AN3" t="e">
        <f>AND(#REF!,"AAAAAE3v/yc=")</f>
        <v>#REF!</v>
      </c>
      <c r="AO3" t="e">
        <f>AND(#REF!,"AAAAAE3v/yg=")</f>
        <v>#REF!</v>
      </c>
      <c r="AP3" t="e">
        <f>AND(#REF!,"AAAAAE3v/yk=")</f>
        <v>#REF!</v>
      </c>
      <c r="AQ3" t="e">
        <f>AND(#REF!,"AAAAAE3v/yo=")</f>
        <v>#REF!</v>
      </c>
      <c r="AR3" t="e">
        <f>AND(#REF!,"AAAAAE3v/ys=")</f>
        <v>#REF!</v>
      </c>
      <c r="AS3" t="e">
        <f>AND(#REF!,"AAAAAE3v/yw=")</f>
        <v>#REF!</v>
      </c>
      <c r="AT3" t="e">
        <f>AND(#REF!,"AAAAAE3v/y0=")</f>
        <v>#REF!</v>
      </c>
      <c r="AU3" t="e">
        <f>AND(#REF!,"AAAAAE3v/y4=")</f>
        <v>#REF!</v>
      </c>
      <c r="AV3" t="e">
        <f>AND(#REF!,"AAAAAE3v/y8=")</f>
        <v>#REF!</v>
      </c>
      <c r="AW3" t="e">
        <f>AND(#REF!,"AAAAAE3v/zA=")</f>
        <v>#REF!</v>
      </c>
      <c r="AX3" t="e">
        <f>AND(#REF!,"AAAAAE3v/zE=")</f>
        <v>#REF!</v>
      </c>
      <c r="AY3" t="e">
        <f>AND(#REF!,"AAAAAE3v/zI=")</f>
        <v>#REF!</v>
      </c>
      <c r="AZ3" t="e">
        <f>IF(#REF!,"AAAAAE3v/zM=",0)</f>
        <v>#REF!</v>
      </c>
      <c r="BA3" t="e">
        <f>AND(#REF!,"AAAAAE3v/zQ=")</f>
        <v>#REF!</v>
      </c>
      <c r="BB3" t="e">
        <f>AND(#REF!,"AAAAAE3v/zU=")</f>
        <v>#REF!</v>
      </c>
      <c r="BC3" t="e">
        <f>AND(#REF!,"AAAAAE3v/zY=")</f>
        <v>#REF!</v>
      </c>
      <c r="BD3" t="e">
        <f>AND(#REF!,"AAAAAE3v/zc=")</f>
        <v>#REF!</v>
      </c>
      <c r="BE3" t="e">
        <f>AND(#REF!,"AAAAAE3v/zg=")</f>
        <v>#REF!</v>
      </c>
      <c r="BF3" t="e">
        <f>AND(#REF!,"AAAAAE3v/zk=")</f>
        <v>#REF!</v>
      </c>
      <c r="BG3" t="e">
        <f>AND(#REF!,"AAAAAE3v/zo=")</f>
        <v>#REF!</v>
      </c>
      <c r="BH3" t="e">
        <f>AND(#REF!,"AAAAAE3v/zs=")</f>
        <v>#REF!</v>
      </c>
      <c r="BI3" t="e">
        <f>AND(#REF!,"AAAAAE3v/zw=")</f>
        <v>#REF!</v>
      </c>
      <c r="BJ3" t="e">
        <f>AND(#REF!,"AAAAAE3v/z0=")</f>
        <v>#REF!</v>
      </c>
      <c r="BK3" t="e">
        <f>AND(#REF!,"AAAAAE3v/z4=")</f>
        <v>#REF!</v>
      </c>
      <c r="BL3" t="e">
        <f>AND(#REF!,"AAAAAE3v/z8=")</f>
        <v>#REF!</v>
      </c>
      <c r="BM3" t="e">
        <f>AND(#REF!,"AAAAAE3v/0A=")</f>
        <v>#REF!</v>
      </c>
      <c r="BN3" t="e">
        <f>IF(#REF!,"AAAAAE3v/0E=",0)</f>
        <v>#REF!</v>
      </c>
      <c r="BO3" t="e">
        <f>AND(#REF!,"AAAAAE3v/0I=")</f>
        <v>#REF!</v>
      </c>
      <c r="BP3" t="e">
        <f>AND(#REF!,"AAAAAE3v/0M=")</f>
        <v>#REF!</v>
      </c>
      <c r="BQ3" t="e">
        <f>AND(#REF!,"AAAAAE3v/0Q=")</f>
        <v>#REF!</v>
      </c>
      <c r="BR3" t="e">
        <f>AND(#REF!,"AAAAAE3v/0U=")</f>
        <v>#REF!</v>
      </c>
      <c r="BS3" t="e">
        <f>AND(#REF!,"AAAAAE3v/0Y=")</f>
        <v>#REF!</v>
      </c>
      <c r="BT3" t="e">
        <f>AND(#REF!,"AAAAAE3v/0c=")</f>
        <v>#REF!</v>
      </c>
      <c r="BU3" t="e">
        <f>AND(#REF!,"AAAAAE3v/0g=")</f>
        <v>#REF!</v>
      </c>
      <c r="BV3" t="e">
        <f>AND(#REF!,"AAAAAE3v/0k=")</f>
        <v>#REF!</v>
      </c>
      <c r="BW3" t="e">
        <f>AND(#REF!,"AAAAAE3v/0o=")</f>
        <v>#REF!</v>
      </c>
      <c r="BX3" t="e">
        <f>AND(#REF!,"AAAAAE3v/0s=")</f>
        <v>#REF!</v>
      </c>
      <c r="BY3" t="e">
        <f>AND(#REF!,"AAAAAE3v/0w=")</f>
        <v>#REF!</v>
      </c>
      <c r="BZ3" t="e">
        <f>AND(#REF!,"AAAAAE3v/00=")</f>
        <v>#REF!</v>
      </c>
      <c r="CA3" t="e">
        <f>AND(#REF!,"AAAAAE3v/04=")</f>
        <v>#REF!</v>
      </c>
      <c r="CB3" t="e">
        <f>IF(#REF!,"AAAAAE3v/08=",0)</f>
        <v>#REF!</v>
      </c>
      <c r="CC3" t="e">
        <f>AND(#REF!,"AAAAAE3v/1A=")</f>
        <v>#REF!</v>
      </c>
      <c r="CD3" t="e">
        <f>AND(#REF!,"AAAAAE3v/1E=")</f>
        <v>#REF!</v>
      </c>
      <c r="CE3" t="e">
        <f>AND(#REF!,"AAAAAE3v/1I=")</f>
        <v>#REF!</v>
      </c>
      <c r="CF3" t="e">
        <f>AND(#REF!,"AAAAAE3v/1M=")</f>
        <v>#REF!</v>
      </c>
      <c r="CG3" t="e">
        <f>AND(#REF!,"AAAAAE3v/1Q=")</f>
        <v>#REF!</v>
      </c>
      <c r="CH3" t="e">
        <f>AND(#REF!,"AAAAAE3v/1U=")</f>
        <v>#REF!</v>
      </c>
      <c r="CI3" t="e">
        <f>AND(#REF!,"AAAAAE3v/1Y=")</f>
        <v>#REF!</v>
      </c>
      <c r="CJ3" t="e">
        <f>AND(#REF!,"AAAAAE3v/1c=")</f>
        <v>#REF!</v>
      </c>
      <c r="CK3" t="e">
        <f>AND(#REF!,"AAAAAE3v/1g=")</f>
        <v>#REF!</v>
      </c>
      <c r="CL3" t="e">
        <f>AND(#REF!,"AAAAAE3v/1k=")</f>
        <v>#REF!</v>
      </c>
      <c r="CM3" t="e">
        <f>AND(#REF!,"AAAAAE3v/1o=")</f>
        <v>#REF!</v>
      </c>
      <c r="CN3" t="e">
        <f>AND(#REF!,"AAAAAE3v/1s=")</f>
        <v>#REF!</v>
      </c>
      <c r="CO3" t="e">
        <f>AND(#REF!,"AAAAAE3v/1w=")</f>
        <v>#REF!</v>
      </c>
      <c r="CP3" t="e">
        <f>IF(#REF!,"AAAAAE3v/10=",0)</f>
        <v>#REF!</v>
      </c>
      <c r="CQ3" t="e">
        <f>AND(#REF!,"AAAAAE3v/14=")</f>
        <v>#REF!</v>
      </c>
      <c r="CR3" t="e">
        <f>AND(#REF!,"AAAAAE3v/18=")</f>
        <v>#REF!</v>
      </c>
      <c r="CS3" t="e">
        <f>AND(#REF!,"AAAAAE3v/2A=")</f>
        <v>#REF!</v>
      </c>
      <c r="CT3" t="e">
        <f>AND(#REF!,"AAAAAE3v/2E=")</f>
        <v>#REF!</v>
      </c>
      <c r="CU3" t="e">
        <f>AND(#REF!,"AAAAAE3v/2I=")</f>
        <v>#REF!</v>
      </c>
      <c r="CV3" t="e">
        <f>AND(#REF!,"AAAAAE3v/2M=")</f>
        <v>#REF!</v>
      </c>
      <c r="CW3" t="e">
        <f>AND(#REF!,"AAAAAE3v/2Q=")</f>
        <v>#REF!</v>
      </c>
      <c r="CX3" t="e">
        <f>AND(#REF!,"AAAAAE3v/2U=")</f>
        <v>#REF!</v>
      </c>
      <c r="CY3" t="e">
        <f>AND(#REF!,"AAAAAE3v/2Y=")</f>
        <v>#REF!</v>
      </c>
      <c r="CZ3" t="e">
        <f>AND(#REF!,"AAAAAE3v/2c=")</f>
        <v>#REF!</v>
      </c>
      <c r="DA3" t="e">
        <f>AND(#REF!,"AAAAAE3v/2g=")</f>
        <v>#REF!</v>
      </c>
      <c r="DB3" t="e">
        <f>AND(#REF!,"AAAAAE3v/2k=")</f>
        <v>#REF!</v>
      </c>
      <c r="DC3" t="e">
        <f>AND(#REF!,"AAAAAE3v/2o=")</f>
        <v>#REF!</v>
      </c>
      <c r="DD3" t="e">
        <f>IF(#REF!,"AAAAAE3v/2s=",0)</f>
        <v>#REF!</v>
      </c>
      <c r="DE3" t="e">
        <f>AND(#REF!,"AAAAAE3v/2w=")</f>
        <v>#REF!</v>
      </c>
      <c r="DF3" t="e">
        <f>AND(#REF!,"AAAAAE3v/20=")</f>
        <v>#REF!</v>
      </c>
      <c r="DG3" t="e">
        <f>AND(#REF!,"AAAAAE3v/24=")</f>
        <v>#REF!</v>
      </c>
      <c r="DH3" t="e">
        <f>AND(#REF!,"AAAAAE3v/28=")</f>
        <v>#REF!</v>
      </c>
      <c r="DI3" t="e">
        <f>AND(#REF!,"AAAAAE3v/3A=")</f>
        <v>#REF!</v>
      </c>
      <c r="DJ3" t="e">
        <f>AND(#REF!,"AAAAAE3v/3E=")</f>
        <v>#REF!</v>
      </c>
      <c r="DK3" t="e">
        <f>AND(#REF!,"AAAAAE3v/3I=")</f>
        <v>#REF!</v>
      </c>
      <c r="DL3" t="e">
        <f>AND(#REF!,"AAAAAE3v/3M=")</f>
        <v>#REF!</v>
      </c>
      <c r="DM3" t="e">
        <f>AND(#REF!,"AAAAAE3v/3Q=")</f>
        <v>#REF!</v>
      </c>
      <c r="DN3" t="e">
        <f>AND(#REF!,"AAAAAE3v/3U=")</f>
        <v>#REF!</v>
      </c>
      <c r="DO3" t="e">
        <f>AND(#REF!,"AAAAAE3v/3Y=")</f>
        <v>#REF!</v>
      </c>
      <c r="DP3" t="e">
        <f>AND(#REF!,"AAAAAE3v/3c=")</f>
        <v>#REF!</v>
      </c>
      <c r="DQ3" t="e">
        <f>AND(#REF!,"AAAAAE3v/3g=")</f>
        <v>#REF!</v>
      </c>
      <c r="DR3" t="e">
        <f>IF(#REF!,"AAAAAE3v/3k=",0)</f>
        <v>#REF!</v>
      </c>
      <c r="DS3" t="e">
        <f>AND(#REF!,"AAAAAE3v/3o=")</f>
        <v>#REF!</v>
      </c>
      <c r="DT3" t="e">
        <f>AND(#REF!,"AAAAAE3v/3s=")</f>
        <v>#REF!</v>
      </c>
      <c r="DU3" t="e">
        <f>AND(#REF!,"AAAAAE3v/3w=")</f>
        <v>#REF!</v>
      </c>
      <c r="DV3" t="e">
        <f>AND(#REF!,"AAAAAE3v/30=")</f>
        <v>#REF!</v>
      </c>
      <c r="DW3" t="e">
        <f>AND(#REF!,"AAAAAE3v/34=")</f>
        <v>#REF!</v>
      </c>
      <c r="DX3" t="e">
        <f>AND(#REF!,"AAAAAE3v/38=")</f>
        <v>#REF!</v>
      </c>
      <c r="DY3" t="e">
        <f>AND(#REF!,"AAAAAE3v/4A=")</f>
        <v>#REF!</v>
      </c>
      <c r="DZ3" t="e">
        <f>AND(#REF!,"AAAAAE3v/4E=")</f>
        <v>#REF!</v>
      </c>
      <c r="EA3" t="e">
        <f>AND(#REF!,"AAAAAE3v/4I=")</f>
        <v>#REF!</v>
      </c>
      <c r="EB3" t="e">
        <f>AND(#REF!,"AAAAAE3v/4M=")</f>
        <v>#REF!</v>
      </c>
      <c r="EC3" t="e">
        <f>AND(#REF!,"AAAAAE3v/4Q=")</f>
        <v>#REF!</v>
      </c>
      <c r="ED3" t="e">
        <f>AND(#REF!,"AAAAAE3v/4U=")</f>
        <v>#REF!</v>
      </c>
      <c r="EE3" t="e">
        <f>AND(#REF!,"AAAAAE3v/4Y=")</f>
        <v>#REF!</v>
      </c>
      <c r="EF3" t="e">
        <f>IF(#REF!,"AAAAAE3v/4c=",0)</f>
        <v>#REF!</v>
      </c>
      <c r="EG3" t="e">
        <f>AND(#REF!,"AAAAAE3v/4g=")</f>
        <v>#REF!</v>
      </c>
      <c r="EH3" t="e">
        <f>AND(#REF!,"AAAAAE3v/4k=")</f>
        <v>#REF!</v>
      </c>
      <c r="EI3" t="e">
        <f>AND(#REF!,"AAAAAE3v/4o=")</f>
        <v>#REF!</v>
      </c>
      <c r="EJ3" t="e">
        <f>AND(#REF!,"AAAAAE3v/4s=")</f>
        <v>#REF!</v>
      </c>
      <c r="EK3" t="e">
        <f>AND(#REF!,"AAAAAE3v/4w=")</f>
        <v>#REF!</v>
      </c>
      <c r="EL3" t="e">
        <f>AND(#REF!,"AAAAAE3v/40=")</f>
        <v>#REF!</v>
      </c>
      <c r="EM3" t="e">
        <f>AND(#REF!,"AAAAAE3v/44=")</f>
        <v>#REF!</v>
      </c>
      <c r="EN3" t="e">
        <f>AND(#REF!,"AAAAAE3v/48=")</f>
        <v>#REF!</v>
      </c>
      <c r="EO3" t="e">
        <f>AND(#REF!,"AAAAAE3v/5A=")</f>
        <v>#REF!</v>
      </c>
      <c r="EP3" t="e">
        <f>AND(#REF!,"AAAAAE3v/5E=")</f>
        <v>#REF!</v>
      </c>
      <c r="EQ3" t="e">
        <f>AND(#REF!,"AAAAAE3v/5I=")</f>
        <v>#REF!</v>
      </c>
      <c r="ER3" t="e">
        <f>AND(#REF!,"AAAAAE3v/5M=")</f>
        <v>#REF!</v>
      </c>
      <c r="ES3" t="e">
        <f>AND(#REF!,"AAAAAE3v/5Q=")</f>
        <v>#REF!</v>
      </c>
      <c r="ET3" t="e">
        <f>IF(#REF!,"AAAAAE3v/5U=",0)</f>
        <v>#REF!</v>
      </c>
      <c r="EU3" t="e">
        <f>AND(#REF!,"AAAAAE3v/5Y=")</f>
        <v>#REF!</v>
      </c>
      <c r="EV3" t="e">
        <f>AND(#REF!,"AAAAAE3v/5c=")</f>
        <v>#REF!</v>
      </c>
      <c r="EW3" t="e">
        <f>AND(#REF!,"AAAAAE3v/5g=")</f>
        <v>#REF!</v>
      </c>
      <c r="EX3" t="e">
        <f>AND(#REF!,"AAAAAE3v/5k=")</f>
        <v>#REF!</v>
      </c>
      <c r="EY3" t="e">
        <f>AND(#REF!,"AAAAAE3v/5o=")</f>
        <v>#REF!</v>
      </c>
      <c r="EZ3" t="e">
        <f>AND(#REF!,"AAAAAE3v/5s=")</f>
        <v>#REF!</v>
      </c>
      <c r="FA3" t="e">
        <f>AND(#REF!,"AAAAAE3v/5w=")</f>
        <v>#REF!</v>
      </c>
      <c r="FB3" t="e">
        <f>AND(#REF!,"AAAAAE3v/50=")</f>
        <v>#REF!</v>
      </c>
      <c r="FC3" t="e">
        <f>AND(#REF!,"AAAAAE3v/54=")</f>
        <v>#REF!</v>
      </c>
      <c r="FD3" t="e">
        <f>AND(#REF!,"AAAAAE3v/58=")</f>
        <v>#REF!</v>
      </c>
      <c r="FE3" t="e">
        <f>AND(#REF!,"AAAAAE3v/6A=")</f>
        <v>#REF!</v>
      </c>
      <c r="FF3" t="e">
        <f>AND(#REF!,"AAAAAE3v/6E=")</f>
        <v>#REF!</v>
      </c>
      <c r="FG3" t="e">
        <f>AND(#REF!,"AAAAAE3v/6I=")</f>
        <v>#REF!</v>
      </c>
      <c r="FH3" t="e">
        <f>IF(#REF!,"AAAAAE3v/6M=",0)</f>
        <v>#REF!</v>
      </c>
      <c r="FI3" t="e">
        <f>AND(#REF!,"AAAAAE3v/6Q=")</f>
        <v>#REF!</v>
      </c>
      <c r="FJ3" t="e">
        <f>AND(#REF!,"AAAAAE3v/6U=")</f>
        <v>#REF!</v>
      </c>
      <c r="FK3" t="e">
        <f>AND(#REF!,"AAAAAE3v/6Y=")</f>
        <v>#REF!</v>
      </c>
      <c r="FL3" t="e">
        <f>AND(#REF!,"AAAAAE3v/6c=")</f>
        <v>#REF!</v>
      </c>
      <c r="FM3" t="e">
        <f>AND(#REF!,"AAAAAE3v/6g=")</f>
        <v>#REF!</v>
      </c>
      <c r="FN3" t="e">
        <f>AND(#REF!,"AAAAAE3v/6k=")</f>
        <v>#REF!</v>
      </c>
      <c r="FO3" t="e">
        <f>AND(#REF!,"AAAAAE3v/6o=")</f>
        <v>#REF!</v>
      </c>
      <c r="FP3" t="e">
        <f>AND(#REF!,"AAAAAE3v/6s=")</f>
        <v>#REF!</v>
      </c>
      <c r="FQ3" t="e">
        <f>AND(#REF!,"AAAAAE3v/6w=")</f>
        <v>#REF!</v>
      </c>
      <c r="FR3" t="e">
        <f>AND(#REF!,"AAAAAE3v/60=")</f>
        <v>#REF!</v>
      </c>
      <c r="FS3" t="e">
        <f>AND(#REF!,"AAAAAE3v/64=")</f>
        <v>#REF!</v>
      </c>
      <c r="FT3" t="e">
        <f>AND(#REF!,"AAAAAE3v/68=")</f>
        <v>#REF!</v>
      </c>
      <c r="FU3" t="e">
        <f>AND(#REF!,"AAAAAE3v/7A=")</f>
        <v>#REF!</v>
      </c>
      <c r="FV3" t="e">
        <f>IF(#REF!,"AAAAAE3v/7E=",0)</f>
        <v>#REF!</v>
      </c>
      <c r="FW3" t="e">
        <f>AND(#REF!,"AAAAAE3v/7I=")</f>
        <v>#REF!</v>
      </c>
      <c r="FX3" t="e">
        <f>AND(#REF!,"AAAAAE3v/7M=")</f>
        <v>#REF!</v>
      </c>
      <c r="FY3" t="e">
        <f>AND(#REF!,"AAAAAE3v/7Q=")</f>
        <v>#REF!</v>
      </c>
      <c r="FZ3" t="e">
        <f>AND(#REF!,"AAAAAE3v/7U=")</f>
        <v>#REF!</v>
      </c>
      <c r="GA3" t="e">
        <f>AND(#REF!,"AAAAAE3v/7Y=")</f>
        <v>#REF!</v>
      </c>
      <c r="GB3" t="e">
        <f>AND(#REF!,"AAAAAE3v/7c=")</f>
        <v>#REF!</v>
      </c>
      <c r="GC3" t="e">
        <f>AND(#REF!,"AAAAAE3v/7g=")</f>
        <v>#REF!</v>
      </c>
      <c r="GD3" t="e">
        <f>AND(#REF!,"AAAAAE3v/7k=")</f>
        <v>#REF!</v>
      </c>
      <c r="GE3" t="e">
        <f>AND(#REF!,"AAAAAE3v/7o=")</f>
        <v>#REF!</v>
      </c>
      <c r="GF3" t="e">
        <f>AND(#REF!,"AAAAAE3v/7s=")</f>
        <v>#REF!</v>
      </c>
      <c r="GG3" t="e">
        <f>AND(#REF!,"AAAAAE3v/7w=")</f>
        <v>#REF!</v>
      </c>
      <c r="GH3" t="e">
        <f>AND(#REF!,"AAAAAE3v/70=")</f>
        <v>#REF!</v>
      </c>
      <c r="GI3" t="e">
        <f>AND(#REF!,"AAAAAE3v/74=")</f>
        <v>#REF!</v>
      </c>
      <c r="GJ3" t="e">
        <f>IF(#REF!,"AAAAAE3v/78=",0)</f>
        <v>#REF!</v>
      </c>
      <c r="GK3" t="e">
        <f>AND(#REF!,"AAAAAE3v/8A=")</f>
        <v>#REF!</v>
      </c>
      <c r="GL3" t="e">
        <f>AND(#REF!,"AAAAAE3v/8E=")</f>
        <v>#REF!</v>
      </c>
      <c r="GM3" t="e">
        <f>AND(#REF!,"AAAAAE3v/8I=")</f>
        <v>#REF!</v>
      </c>
      <c r="GN3" t="e">
        <f>AND(#REF!,"AAAAAE3v/8M=")</f>
        <v>#REF!</v>
      </c>
      <c r="GO3" t="e">
        <f>AND(#REF!,"AAAAAE3v/8Q=")</f>
        <v>#REF!</v>
      </c>
      <c r="GP3" t="e">
        <f>AND(#REF!,"AAAAAE3v/8U=")</f>
        <v>#REF!</v>
      </c>
      <c r="GQ3" t="e">
        <f>AND(#REF!,"AAAAAE3v/8Y=")</f>
        <v>#REF!</v>
      </c>
      <c r="GR3" t="e">
        <f>AND(#REF!,"AAAAAE3v/8c=")</f>
        <v>#REF!</v>
      </c>
      <c r="GS3" t="e">
        <f>AND(#REF!,"AAAAAE3v/8g=")</f>
        <v>#REF!</v>
      </c>
      <c r="GT3" t="e">
        <f>AND(#REF!,"AAAAAE3v/8k=")</f>
        <v>#REF!</v>
      </c>
      <c r="GU3" t="e">
        <f>AND(#REF!,"AAAAAE3v/8o=")</f>
        <v>#REF!</v>
      </c>
      <c r="GV3" t="e">
        <f>AND(#REF!,"AAAAAE3v/8s=")</f>
        <v>#REF!</v>
      </c>
      <c r="GW3" t="e">
        <f>AND(#REF!,"AAAAAE3v/8w=")</f>
        <v>#REF!</v>
      </c>
      <c r="GX3" t="e">
        <f>IF(#REF!,"AAAAAE3v/80=",0)</f>
        <v>#REF!</v>
      </c>
      <c r="GY3" t="e">
        <f>AND(#REF!,"AAAAAE3v/84=")</f>
        <v>#REF!</v>
      </c>
      <c r="GZ3" t="e">
        <f>AND(#REF!,"AAAAAE3v/88=")</f>
        <v>#REF!</v>
      </c>
      <c r="HA3" t="e">
        <f>AND(#REF!,"AAAAAE3v/9A=")</f>
        <v>#REF!</v>
      </c>
      <c r="HB3" t="e">
        <f>AND(#REF!,"AAAAAE3v/9E=")</f>
        <v>#REF!</v>
      </c>
      <c r="HC3" t="e">
        <f>AND(#REF!,"AAAAAE3v/9I=")</f>
        <v>#REF!</v>
      </c>
      <c r="HD3" t="e">
        <f>AND(#REF!,"AAAAAE3v/9M=")</f>
        <v>#REF!</v>
      </c>
      <c r="HE3" t="e">
        <f>AND(#REF!,"AAAAAE3v/9Q=")</f>
        <v>#REF!</v>
      </c>
      <c r="HF3" t="e">
        <f>AND(#REF!,"AAAAAE3v/9U=")</f>
        <v>#REF!</v>
      </c>
      <c r="HG3" t="e">
        <f>AND(#REF!,"AAAAAE3v/9Y=")</f>
        <v>#REF!</v>
      </c>
      <c r="HH3" t="e">
        <f>AND(#REF!,"AAAAAE3v/9c=")</f>
        <v>#REF!</v>
      </c>
      <c r="HI3" t="e">
        <f>AND(#REF!,"AAAAAE3v/9g=")</f>
        <v>#REF!</v>
      </c>
      <c r="HJ3" t="e">
        <f>AND(#REF!,"AAAAAE3v/9k=")</f>
        <v>#REF!</v>
      </c>
      <c r="HK3" t="e">
        <f>AND(#REF!,"AAAAAE3v/9o=")</f>
        <v>#REF!</v>
      </c>
      <c r="HL3" t="e">
        <f>IF(#REF!,"AAAAAE3v/9s=",0)</f>
        <v>#REF!</v>
      </c>
      <c r="HM3" t="e">
        <f>AND(#REF!,"AAAAAE3v/9w=")</f>
        <v>#REF!</v>
      </c>
      <c r="HN3" t="e">
        <f>AND(#REF!,"AAAAAE3v/90=")</f>
        <v>#REF!</v>
      </c>
      <c r="HO3" t="e">
        <f>AND(#REF!,"AAAAAE3v/94=")</f>
        <v>#REF!</v>
      </c>
      <c r="HP3" t="e">
        <f>AND(#REF!,"AAAAAE3v/98=")</f>
        <v>#REF!</v>
      </c>
      <c r="HQ3" t="e">
        <f>AND(#REF!,"AAAAAE3v/+A=")</f>
        <v>#REF!</v>
      </c>
      <c r="HR3" t="e">
        <f>AND(#REF!,"AAAAAE3v/+E=")</f>
        <v>#REF!</v>
      </c>
      <c r="HS3" t="e">
        <f>AND(#REF!,"AAAAAE3v/+I=")</f>
        <v>#REF!</v>
      </c>
      <c r="HT3" t="e">
        <f>AND(#REF!,"AAAAAE3v/+M=")</f>
        <v>#REF!</v>
      </c>
      <c r="HU3" t="e">
        <f>AND(#REF!,"AAAAAE3v/+Q=")</f>
        <v>#REF!</v>
      </c>
      <c r="HV3" t="e">
        <f>AND(#REF!,"AAAAAE3v/+U=")</f>
        <v>#REF!</v>
      </c>
      <c r="HW3" t="e">
        <f>AND(#REF!,"AAAAAE3v/+Y=")</f>
        <v>#REF!</v>
      </c>
      <c r="HX3" t="e">
        <f>AND(#REF!,"AAAAAE3v/+c=")</f>
        <v>#REF!</v>
      </c>
      <c r="HY3" t="e">
        <f>AND(#REF!,"AAAAAE3v/+g=")</f>
        <v>#REF!</v>
      </c>
      <c r="HZ3" t="e">
        <f>IF(#REF!,"AAAAAE3v/+k=",0)</f>
        <v>#REF!</v>
      </c>
      <c r="IA3" t="e">
        <f>AND(#REF!,"AAAAAE3v/+o=")</f>
        <v>#REF!</v>
      </c>
      <c r="IB3" t="e">
        <f>AND(#REF!,"AAAAAE3v/+s=")</f>
        <v>#REF!</v>
      </c>
      <c r="IC3" t="e">
        <f>AND(#REF!,"AAAAAE3v/+w=")</f>
        <v>#REF!</v>
      </c>
      <c r="ID3" t="e">
        <f>AND(#REF!,"AAAAAE3v/+0=")</f>
        <v>#REF!</v>
      </c>
      <c r="IE3" t="e">
        <f>AND(#REF!,"AAAAAE3v/+4=")</f>
        <v>#REF!</v>
      </c>
      <c r="IF3" t="e">
        <f>AND(#REF!,"AAAAAE3v/+8=")</f>
        <v>#REF!</v>
      </c>
      <c r="IG3" t="e">
        <f>AND(#REF!,"AAAAAE3v//A=")</f>
        <v>#REF!</v>
      </c>
      <c r="IH3" t="e">
        <f>AND(#REF!,"AAAAAE3v//E=")</f>
        <v>#REF!</v>
      </c>
      <c r="II3" t="e">
        <f>AND(#REF!,"AAAAAE3v//I=")</f>
        <v>#REF!</v>
      </c>
      <c r="IJ3" t="e">
        <f>AND(#REF!,"AAAAAE3v//M=")</f>
        <v>#REF!</v>
      </c>
      <c r="IK3" t="e">
        <f>AND(#REF!,"AAAAAE3v//Q=")</f>
        <v>#REF!</v>
      </c>
      <c r="IL3" t="e">
        <f>AND(#REF!,"AAAAAE3v//U=")</f>
        <v>#REF!</v>
      </c>
      <c r="IM3" t="e">
        <f>AND(#REF!,"AAAAAE3v//Y=")</f>
        <v>#REF!</v>
      </c>
      <c r="IN3" t="e">
        <f>IF(#REF!,"AAAAAE3v//c=",0)</f>
        <v>#REF!</v>
      </c>
      <c r="IO3" t="e">
        <f>AND(#REF!,"AAAAAE3v//g=")</f>
        <v>#REF!</v>
      </c>
      <c r="IP3" t="e">
        <f>AND(#REF!,"AAAAAE3v//k=")</f>
        <v>#REF!</v>
      </c>
      <c r="IQ3" t="e">
        <f>AND(#REF!,"AAAAAE3v//o=")</f>
        <v>#REF!</v>
      </c>
      <c r="IR3" t="e">
        <f>AND(#REF!,"AAAAAE3v//s=")</f>
        <v>#REF!</v>
      </c>
      <c r="IS3" t="e">
        <f>AND(#REF!,"AAAAAE3v//w=")</f>
        <v>#REF!</v>
      </c>
      <c r="IT3" t="e">
        <f>AND(#REF!,"AAAAAE3v//0=")</f>
        <v>#REF!</v>
      </c>
      <c r="IU3" t="e">
        <f>AND(#REF!,"AAAAAE3v//4=")</f>
        <v>#REF!</v>
      </c>
      <c r="IV3" t="e">
        <f>AND(#REF!,"AAAAAE3v//8=")</f>
        <v>#REF!</v>
      </c>
    </row>
    <row r="4" spans="1:256" ht="12.75">
      <c r="A4" t="e">
        <f>AND(#REF!,"AAAAAD+v/wA=")</f>
        <v>#REF!</v>
      </c>
      <c r="B4" t="e">
        <f>AND(#REF!,"AAAAAD+v/wE=")</f>
        <v>#REF!</v>
      </c>
      <c r="C4" t="e">
        <f>AND(#REF!,"AAAAAD+v/wI=")</f>
        <v>#REF!</v>
      </c>
      <c r="D4" t="e">
        <f>AND(#REF!,"AAAAAD+v/wM=")</f>
        <v>#REF!</v>
      </c>
      <c r="E4" t="e">
        <f>AND(#REF!,"AAAAAD+v/wQ=")</f>
        <v>#REF!</v>
      </c>
      <c r="F4" t="e">
        <f>IF(#REF!,"AAAAAD+v/wU=",0)</f>
        <v>#REF!</v>
      </c>
      <c r="G4" t="e">
        <f>AND(#REF!,"AAAAAD+v/wY=")</f>
        <v>#REF!</v>
      </c>
      <c r="H4" t="e">
        <f>AND(#REF!,"AAAAAD+v/wc=")</f>
        <v>#REF!</v>
      </c>
      <c r="I4" t="e">
        <f>AND(#REF!,"AAAAAD+v/wg=")</f>
        <v>#REF!</v>
      </c>
      <c r="J4" t="e">
        <f>AND(#REF!,"AAAAAD+v/wk=")</f>
        <v>#REF!</v>
      </c>
      <c r="K4" t="e">
        <f>AND(#REF!,"AAAAAD+v/wo=")</f>
        <v>#REF!</v>
      </c>
      <c r="L4" t="e">
        <f>AND(#REF!,"AAAAAD+v/ws=")</f>
        <v>#REF!</v>
      </c>
      <c r="M4" t="e">
        <f>AND(#REF!,"AAAAAD+v/ww=")</f>
        <v>#REF!</v>
      </c>
      <c r="N4" t="e">
        <f>AND(#REF!,"AAAAAD+v/w0=")</f>
        <v>#REF!</v>
      </c>
      <c r="O4" t="e">
        <f>AND(#REF!,"AAAAAD+v/w4=")</f>
        <v>#REF!</v>
      </c>
      <c r="P4" t="e">
        <f>AND(#REF!,"AAAAAD+v/w8=")</f>
        <v>#REF!</v>
      </c>
      <c r="Q4" t="e">
        <f>AND(#REF!,"AAAAAD+v/xA=")</f>
        <v>#REF!</v>
      </c>
      <c r="R4" t="e">
        <f>AND(#REF!,"AAAAAD+v/xE=")</f>
        <v>#REF!</v>
      </c>
      <c r="S4" t="e">
        <f>AND(#REF!,"AAAAAD+v/xI=")</f>
        <v>#REF!</v>
      </c>
      <c r="T4" t="e">
        <f>IF(#REF!,"AAAAAD+v/xM=",0)</f>
        <v>#REF!</v>
      </c>
      <c r="U4" t="e">
        <f>AND(#REF!,"AAAAAD+v/xQ=")</f>
        <v>#REF!</v>
      </c>
      <c r="V4" t="e">
        <f>AND(#REF!,"AAAAAD+v/xU=")</f>
        <v>#REF!</v>
      </c>
      <c r="W4" t="e">
        <f>AND(#REF!,"AAAAAD+v/xY=")</f>
        <v>#REF!</v>
      </c>
      <c r="X4" t="e">
        <f>AND(#REF!,"AAAAAD+v/xc=")</f>
        <v>#REF!</v>
      </c>
      <c r="Y4" t="e">
        <f>AND(#REF!,"AAAAAD+v/xg=")</f>
        <v>#REF!</v>
      </c>
      <c r="Z4" t="e">
        <f>AND(#REF!,"AAAAAD+v/xk=")</f>
        <v>#REF!</v>
      </c>
      <c r="AA4" t="e">
        <f>AND(#REF!,"AAAAAD+v/xo=")</f>
        <v>#REF!</v>
      </c>
      <c r="AB4" t="e">
        <f>AND(#REF!,"AAAAAD+v/xs=")</f>
        <v>#REF!</v>
      </c>
      <c r="AC4" t="e">
        <f>AND(#REF!,"AAAAAD+v/xw=")</f>
        <v>#REF!</v>
      </c>
      <c r="AD4" t="e">
        <f>AND(#REF!,"AAAAAD+v/x0=")</f>
        <v>#REF!</v>
      </c>
      <c r="AE4" t="e">
        <f>AND(#REF!,"AAAAAD+v/x4=")</f>
        <v>#REF!</v>
      </c>
      <c r="AF4" t="e">
        <f>AND(#REF!,"AAAAAD+v/x8=")</f>
        <v>#REF!</v>
      </c>
      <c r="AG4" t="e">
        <f>AND(#REF!,"AAAAAD+v/yA=")</f>
        <v>#REF!</v>
      </c>
      <c r="AH4" t="e">
        <f>IF(#REF!,"AAAAAD+v/yE=",0)</f>
        <v>#REF!</v>
      </c>
      <c r="AI4" t="e">
        <f>AND(#REF!,"AAAAAD+v/yI=")</f>
        <v>#REF!</v>
      </c>
      <c r="AJ4" t="e">
        <f>AND(#REF!,"AAAAAD+v/yM=")</f>
        <v>#REF!</v>
      </c>
      <c r="AK4" t="e">
        <f>AND(#REF!,"AAAAAD+v/yQ=")</f>
        <v>#REF!</v>
      </c>
      <c r="AL4" t="e">
        <f>AND(#REF!,"AAAAAD+v/yU=")</f>
        <v>#REF!</v>
      </c>
      <c r="AM4" t="e">
        <f>AND(#REF!,"AAAAAD+v/yY=")</f>
        <v>#REF!</v>
      </c>
      <c r="AN4" t="e">
        <f>AND(#REF!,"AAAAAD+v/yc=")</f>
        <v>#REF!</v>
      </c>
      <c r="AO4" t="e">
        <f>AND(#REF!,"AAAAAD+v/yg=")</f>
        <v>#REF!</v>
      </c>
      <c r="AP4" t="e">
        <f>AND(#REF!,"AAAAAD+v/yk=")</f>
        <v>#REF!</v>
      </c>
      <c r="AQ4" t="e">
        <f>AND(#REF!,"AAAAAD+v/yo=")</f>
        <v>#REF!</v>
      </c>
      <c r="AR4" t="e">
        <f>AND(#REF!,"AAAAAD+v/ys=")</f>
        <v>#REF!</v>
      </c>
      <c r="AS4" t="e">
        <f>AND(#REF!,"AAAAAD+v/yw=")</f>
        <v>#REF!</v>
      </c>
      <c r="AT4" t="e">
        <f>AND(#REF!,"AAAAAD+v/y0=")</f>
        <v>#REF!</v>
      </c>
      <c r="AU4" t="e">
        <f>AND(#REF!,"AAAAAD+v/y4=")</f>
        <v>#REF!</v>
      </c>
      <c r="AV4" t="e">
        <f>IF(#REF!,"AAAAAD+v/y8=",0)</f>
        <v>#REF!</v>
      </c>
      <c r="AW4" t="e">
        <f>AND(#REF!,"AAAAAD+v/zA=")</f>
        <v>#REF!</v>
      </c>
      <c r="AX4" t="e">
        <f>AND(#REF!,"AAAAAD+v/zE=")</f>
        <v>#REF!</v>
      </c>
      <c r="AY4" t="e">
        <f>AND(#REF!,"AAAAAD+v/zI=")</f>
        <v>#REF!</v>
      </c>
      <c r="AZ4" t="e">
        <f>AND(#REF!,"AAAAAD+v/zM=")</f>
        <v>#REF!</v>
      </c>
      <c r="BA4" t="e">
        <f>AND(#REF!,"AAAAAD+v/zQ=")</f>
        <v>#REF!</v>
      </c>
      <c r="BB4" t="e">
        <f>AND(#REF!,"AAAAAD+v/zU=")</f>
        <v>#REF!</v>
      </c>
      <c r="BC4" t="e">
        <f>AND(#REF!,"AAAAAD+v/zY=")</f>
        <v>#REF!</v>
      </c>
      <c r="BD4" t="e">
        <f>AND(#REF!,"AAAAAD+v/zc=")</f>
        <v>#REF!</v>
      </c>
      <c r="BE4" t="e">
        <f>AND(#REF!,"AAAAAD+v/zg=")</f>
        <v>#REF!</v>
      </c>
      <c r="BF4" t="e">
        <f>AND(#REF!,"AAAAAD+v/zk=")</f>
        <v>#REF!</v>
      </c>
      <c r="BG4" t="e">
        <f>AND(#REF!,"AAAAAD+v/zo=")</f>
        <v>#REF!</v>
      </c>
      <c r="BH4" t="e">
        <f>AND(#REF!,"AAAAAD+v/zs=")</f>
        <v>#REF!</v>
      </c>
      <c r="BI4" t="e">
        <f>AND(#REF!,"AAAAAD+v/zw=")</f>
        <v>#REF!</v>
      </c>
      <c r="BJ4" t="e">
        <f>IF(#REF!,"AAAAAD+v/z0=",0)</f>
        <v>#REF!</v>
      </c>
      <c r="BK4" t="e">
        <f>AND(#REF!,"AAAAAD+v/z4=")</f>
        <v>#REF!</v>
      </c>
      <c r="BL4" t="e">
        <f>AND(#REF!,"AAAAAD+v/z8=")</f>
        <v>#REF!</v>
      </c>
      <c r="BM4" t="e">
        <f>AND(#REF!,"AAAAAD+v/0A=")</f>
        <v>#REF!</v>
      </c>
      <c r="BN4" t="e">
        <f>AND(#REF!,"AAAAAD+v/0E=")</f>
        <v>#REF!</v>
      </c>
      <c r="BO4" t="e">
        <f>AND(#REF!,"AAAAAD+v/0I=")</f>
        <v>#REF!</v>
      </c>
      <c r="BP4" t="e">
        <f>AND(#REF!,"AAAAAD+v/0M=")</f>
        <v>#REF!</v>
      </c>
      <c r="BQ4" t="e">
        <f>AND(#REF!,"AAAAAD+v/0Q=")</f>
        <v>#REF!</v>
      </c>
      <c r="BR4" t="e">
        <f>AND(#REF!,"AAAAAD+v/0U=")</f>
        <v>#REF!</v>
      </c>
      <c r="BS4" t="e">
        <f>AND(#REF!,"AAAAAD+v/0Y=")</f>
        <v>#REF!</v>
      </c>
      <c r="BT4" t="e">
        <f>AND(#REF!,"AAAAAD+v/0c=")</f>
        <v>#REF!</v>
      </c>
      <c r="BU4" t="e">
        <f>AND(#REF!,"AAAAAD+v/0g=")</f>
        <v>#REF!</v>
      </c>
      <c r="BV4" t="e">
        <f>AND(#REF!,"AAAAAD+v/0k=")</f>
        <v>#REF!</v>
      </c>
      <c r="BW4" t="e">
        <f>AND(#REF!,"AAAAAD+v/0o=")</f>
        <v>#REF!</v>
      </c>
      <c r="BX4" t="e">
        <f>IF(#REF!,"AAAAAD+v/0s=",0)</f>
        <v>#REF!</v>
      </c>
      <c r="BY4" t="e">
        <f>IF(#REF!,"AAAAAD+v/0w=",0)</f>
        <v>#REF!</v>
      </c>
      <c r="BZ4" t="e">
        <f>IF(#REF!,"AAAAAD+v/00=",0)</f>
        <v>#REF!</v>
      </c>
      <c r="CA4" t="e">
        <f>IF(#REF!,"AAAAAD+v/04=",0)</f>
        <v>#REF!</v>
      </c>
      <c r="CB4" t="e">
        <f>IF(#REF!,"AAAAAD+v/08=",0)</f>
        <v>#REF!</v>
      </c>
      <c r="CC4" t="e">
        <f>IF(#REF!,"AAAAAD+v/1A=",0)</f>
        <v>#REF!</v>
      </c>
      <c r="CD4" t="e">
        <f>IF(#REF!,"AAAAAD+v/1E=",0)</f>
        <v>#REF!</v>
      </c>
      <c r="CE4" t="e">
        <f>IF(#REF!,"AAAAAD+v/1I=",0)</f>
        <v>#REF!</v>
      </c>
      <c r="CF4" t="e">
        <f>IF(#REF!,"AAAAAD+v/1M=",0)</f>
        <v>#REF!</v>
      </c>
      <c r="CG4" t="e">
        <f>IF(#REF!,"AAAAAD+v/1Q=",0)</f>
        <v>#REF!</v>
      </c>
      <c r="CH4" t="e">
        <f>IF(#REF!,"AAAAAD+v/1U=",0)</f>
        <v>#REF!</v>
      </c>
      <c r="CI4" t="e">
        <f>IF(#REF!,"AAAAAD+v/1Y=",0)</f>
        <v>#REF!</v>
      </c>
      <c r="CJ4" t="e">
        <f>IF(#REF!,"AAAAAD+v/1c=",0)</f>
        <v>#REF!</v>
      </c>
      <c r="CK4" t="e">
        <f>IF(#REF!,"AAAAAD+v/1g=",0)</f>
        <v>#REF!</v>
      </c>
      <c r="CL4" t="e">
        <f>IF(#REF!,"AAAAAD+v/1k=",0)</f>
        <v>#REF!</v>
      </c>
      <c r="CM4" t="e">
        <f>IF(#REF!,"AAAAAD+v/1o=",0)</f>
        <v>#REF!</v>
      </c>
      <c r="CN4" t="e">
        <f>IF(#REF!,"AAAAAD+v/1s=",0)</f>
        <v>#REF!</v>
      </c>
      <c r="CO4" t="e">
        <f>AND(#REF!,"AAAAAD+v/1w=")</f>
        <v>#REF!</v>
      </c>
      <c r="CP4" t="e">
        <f>AND(#REF!,"AAAAAD+v/10=")</f>
        <v>#REF!</v>
      </c>
      <c r="CQ4" t="e">
        <f>AND(#REF!,"AAAAAD+v/14=")</f>
        <v>#REF!</v>
      </c>
      <c r="CR4" t="e">
        <f>AND(#REF!,"AAAAAD+v/18=")</f>
        <v>#REF!</v>
      </c>
      <c r="CS4" t="e">
        <f>AND(#REF!,"AAAAAD+v/2A=")</f>
        <v>#REF!</v>
      </c>
      <c r="CT4" t="e">
        <f>AND(#REF!,"AAAAAD+v/2E=")</f>
        <v>#REF!</v>
      </c>
      <c r="CU4" t="e">
        <f>AND(#REF!,"AAAAAD+v/2I=")</f>
        <v>#REF!</v>
      </c>
      <c r="CV4" t="e">
        <f>AND(#REF!,"AAAAAD+v/2M=")</f>
        <v>#REF!</v>
      </c>
      <c r="CW4" t="e">
        <f>IF(#REF!,"AAAAAD+v/2Q=",0)</f>
        <v>#REF!</v>
      </c>
      <c r="CX4" t="e">
        <f>AND(#REF!,"AAAAAD+v/2U=")</f>
        <v>#REF!</v>
      </c>
      <c r="CY4" t="e">
        <f>AND(#REF!,"AAAAAD+v/2Y=")</f>
        <v>#REF!</v>
      </c>
      <c r="CZ4" t="e">
        <f>AND(#REF!,"AAAAAD+v/2c=")</f>
        <v>#REF!</v>
      </c>
      <c r="DA4" t="e">
        <f>AND(#REF!,"AAAAAD+v/2g=")</f>
        <v>#REF!</v>
      </c>
      <c r="DB4" t="e">
        <f>AND(#REF!,"AAAAAD+v/2k=")</f>
        <v>#REF!</v>
      </c>
      <c r="DC4" t="e">
        <f>AND(#REF!,"AAAAAD+v/2o=")</f>
        <v>#REF!</v>
      </c>
      <c r="DD4" t="e">
        <f>AND(#REF!,"AAAAAD+v/2s=")</f>
        <v>#REF!</v>
      </c>
      <c r="DE4" t="e">
        <f>AND(#REF!,"AAAAAD+v/2w=")</f>
        <v>#REF!</v>
      </c>
      <c r="DF4" t="e">
        <f>IF(#REF!,"AAAAAD+v/20=",0)</f>
        <v>#REF!</v>
      </c>
      <c r="DG4" t="e">
        <f>AND(#REF!,"AAAAAD+v/24=")</f>
        <v>#REF!</v>
      </c>
      <c r="DH4" t="e">
        <f>AND(#REF!,"AAAAAD+v/28=")</f>
        <v>#REF!</v>
      </c>
      <c r="DI4" t="e">
        <f>AND(#REF!,"AAAAAD+v/3A=")</f>
        <v>#REF!</v>
      </c>
      <c r="DJ4" t="e">
        <f>AND(#REF!,"AAAAAD+v/3E=")</f>
        <v>#REF!</v>
      </c>
      <c r="DK4" t="e">
        <f>AND(#REF!,"AAAAAD+v/3I=")</f>
        <v>#REF!</v>
      </c>
      <c r="DL4" t="e">
        <f>AND(#REF!,"AAAAAD+v/3M=")</f>
        <v>#REF!</v>
      </c>
      <c r="DM4" t="e">
        <f>AND(#REF!,"AAAAAD+v/3Q=")</f>
        <v>#REF!</v>
      </c>
      <c r="DN4" t="e">
        <f>AND(#REF!,"AAAAAD+v/3U=")</f>
        <v>#REF!</v>
      </c>
      <c r="DO4" t="e">
        <f>IF(#REF!,"AAAAAD+v/3Y=",0)</f>
        <v>#REF!</v>
      </c>
      <c r="DP4" t="e">
        <f>AND(#REF!,"AAAAAD+v/3c=")</f>
        <v>#REF!</v>
      </c>
      <c r="DQ4" t="e">
        <f>AND(#REF!,"AAAAAD+v/3g=")</f>
        <v>#REF!</v>
      </c>
      <c r="DR4" t="e">
        <f>AND(#REF!,"AAAAAD+v/3k=")</f>
        <v>#REF!</v>
      </c>
      <c r="DS4" t="e">
        <f>AND(#REF!,"AAAAAD+v/3o=")</f>
        <v>#REF!</v>
      </c>
      <c r="DT4" t="e">
        <f>AND(#REF!,"AAAAAD+v/3s=")</f>
        <v>#REF!</v>
      </c>
      <c r="DU4" t="e">
        <f>AND(#REF!,"AAAAAD+v/3w=")</f>
        <v>#REF!</v>
      </c>
      <c r="DV4" t="e">
        <f>AND(#REF!,"AAAAAD+v/30=")</f>
        <v>#REF!</v>
      </c>
      <c r="DW4" t="e">
        <f>AND(#REF!,"AAAAAD+v/34=")</f>
        <v>#REF!</v>
      </c>
      <c r="DX4" t="e">
        <f>IF(#REF!,"AAAAAD+v/38=",0)</f>
        <v>#REF!</v>
      </c>
      <c r="DY4" t="e">
        <f>AND(#REF!,"AAAAAD+v/4A=")</f>
        <v>#REF!</v>
      </c>
      <c r="DZ4" t="e">
        <f>AND(#REF!,"AAAAAD+v/4E=")</f>
        <v>#REF!</v>
      </c>
      <c r="EA4" t="e">
        <f>AND(#REF!,"AAAAAD+v/4I=")</f>
        <v>#REF!</v>
      </c>
      <c r="EB4" t="e">
        <f>AND(#REF!,"AAAAAD+v/4M=")</f>
        <v>#REF!</v>
      </c>
      <c r="EC4" t="e">
        <f>AND(#REF!,"AAAAAD+v/4Q=")</f>
        <v>#REF!</v>
      </c>
      <c r="ED4" t="e">
        <f>AND(#REF!,"AAAAAD+v/4U=")</f>
        <v>#REF!</v>
      </c>
      <c r="EE4" t="e">
        <f>AND(#REF!,"AAAAAD+v/4Y=")</f>
        <v>#REF!</v>
      </c>
      <c r="EF4" t="e">
        <f>AND(#REF!,"AAAAAD+v/4c=")</f>
        <v>#REF!</v>
      </c>
      <c r="EG4" t="e">
        <f>IF(#REF!,"AAAAAD+v/4g=",0)</f>
        <v>#REF!</v>
      </c>
      <c r="EH4" t="e">
        <f>AND(#REF!,"AAAAAD+v/4k=")</f>
        <v>#REF!</v>
      </c>
      <c r="EI4" t="e">
        <f>AND(#REF!,"AAAAAD+v/4o=")</f>
        <v>#REF!</v>
      </c>
      <c r="EJ4" t="e">
        <f>AND(#REF!,"AAAAAD+v/4s=")</f>
        <v>#REF!</v>
      </c>
      <c r="EK4" t="e">
        <f>AND(#REF!,"AAAAAD+v/4w=")</f>
        <v>#REF!</v>
      </c>
      <c r="EL4" t="e">
        <f>AND(#REF!,"AAAAAD+v/40=")</f>
        <v>#REF!</v>
      </c>
      <c r="EM4" t="e">
        <f>AND(#REF!,"AAAAAD+v/44=")</f>
        <v>#REF!</v>
      </c>
      <c r="EN4" t="e">
        <f>AND(#REF!,"AAAAAD+v/48=")</f>
        <v>#REF!</v>
      </c>
      <c r="EO4" t="e">
        <f>AND(#REF!,"AAAAAD+v/5A=")</f>
        <v>#REF!</v>
      </c>
      <c r="EP4" t="e">
        <f>IF(#REF!,"AAAAAD+v/5E=",0)</f>
        <v>#REF!</v>
      </c>
      <c r="EQ4" t="e">
        <f>AND(#REF!,"AAAAAD+v/5I=")</f>
        <v>#REF!</v>
      </c>
      <c r="ER4" t="e">
        <f>AND(#REF!,"AAAAAD+v/5M=")</f>
        <v>#REF!</v>
      </c>
      <c r="ES4" t="e">
        <f>AND(#REF!,"AAAAAD+v/5Q=")</f>
        <v>#REF!</v>
      </c>
      <c r="ET4" t="e">
        <f>AND(#REF!,"AAAAAD+v/5U=")</f>
        <v>#REF!</v>
      </c>
      <c r="EU4" t="e">
        <f>AND(#REF!,"AAAAAD+v/5Y=")</f>
        <v>#REF!</v>
      </c>
      <c r="EV4" t="e">
        <f>AND(#REF!,"AAAAAD+v/5c=")</f>
        <v>#REF!</v>
      </c>
      <c r="EW4" t="e">
        <f>AND(#REF!,"AAAAAD+v/5g=")</f>
        <v>#REF!</v>
      </c>
      <c r="EX4" t="e">
        <f>AND(#REF!,"AAAAAD+v/5k=")</f>
        <v>#REF!</v>
      </c>
      <c r="EY4" t="e">
        <f>IF(#REF!,"AAAAAD+v/5o=",0)</f>
        <v>#REF!</v>
      </c>
      <c r="EZ4" t="e">
        <f>AND(#REF!,"AAAAAD+v/5s=")</f>
        <v>#REF!</v>
      </c>
      <c r="FA4" t="e">
        <f>AND(#REF!,"AAAAAD+v/5w=")</f>
        <v>#REF!</v>
      </c>
      <c r="FB4" t="e">
        <f>AND(#REF!,"AAAAAD+v/50=")</f>
        <v>#REF!</v>
      </c>
      <c r="FC4" t="e">
        <f>AND(#REF!,"AAAAAD+v/54=")</f>
        <v>#REF!</v>
      </c>
      <c r="FD4" t="e">
        <f>AND(#REF!,"AAAAAD+v/58=")</f>
        <v>#REF!</v>
      </c>
      <c r="FE4" t="e">
        <f>AND(#REF!,"AAAAAD+v/6A=")</f>
        <v>#REF!</v>
      </c>
      <c r="FF4" t="e">
        <f>AND(#REF!,"AAAAAD+v/6E=")</f>
        <v>#REF!</v>
      </c>
      <c r="FG4" t="e">
        <f>AND(#REF!,"AAAAAD+v/6I=")</f>
        <v>#REF!</v>
      </c>
      <c r="FH4" t="e">
        <f>IF(#REF!,"AAAAAD+v/6M=",0)</f>
        <v>#REF!</v>
      </c>
      <c r="FI4" t="e">
        <f>AND(#REF!,"AAAAAD+v/6Q=")</f>
        <v>#REF!</v>
      </c>
      <c r="FJ4" t="e">
        <f>AND(#REF!,"AAAAAD+v/6U=")</f>
        <v>#REF!</v>
      </c>
      <c r="FK4" t="e">
        <f>AND(#REF!,"AAAAAD+v/6Y=")</f>
        <v>#REF!</v>
      </c>
      <c r="FL4" t="e">
        <f>AND(#REF!,"AAAAAD+v/6c=")</f>
        <v>#REF!</v>
      </c>
      <c r="FM4" t="e">
        <f>AND(#REF!,"AAAAAD+v/6g=")</f>
        <v>#REF!</v>
      </c>
      <c r="FN4" t="e">
        <f>AND(#REF!,"AAAAAD+v/6k=")</f>
        <v>#REF!</v>
      </c>
      <c r="FO4" t="e">
        <f>AND(#REF!,"AAAAAD+v/6o=")</f>
        <v>#REF!</v>
      </c>
      <c r="FP4" t="e">
        <f>AND(#REF!,"AAAAAD+v/6s=")</f>
        <v>#REF!</v>
      </c>
      <c r="FQ4" t="e">
        <f>IF(#REF!,"AAAAAD+v/6w=",0)</f>
        <v>#REF!</v>
      </c>
      <c r="FR4" t="e">
        <f>AND(#REF!,"AAAAAD+v/60=")</f>
        <v>#REF!</v>
      </c>
      <c r="FS4" t="e">
        <f>AND(#REF!,"AAAAAD+v/64=")</f>
        <v>#REF!</v>
      </c>
      <c r="FT4" t="e">
        <f>AND(#REF!,"AAAAAD+v/68=")</f>
        <v>#REF!</v>
      </c>
      <c r="FU4" t="e">
        <f>AND(#REF!,"AAAAAD+v/7A=")</f>
        <v>#REF!</v>
      </c>
      <c r="FV4" t="e">
        <f>AND(#REF!,"AAAAAD+v/7E=")</f>
        <v>#REF!</v>
      </c>
      <c r="FW4" t="e">
        <f>AND(#REF!,"AAAAAD+v/7I=")</f>
        <v>#REF!</v>
      </c>
      <c r="FX4" t="e">
        <f>AND(#REF!,"AAAAAD+v/7M=")</f>
        <v>#REF!</v>
      </c>
      <c r="FY4" t="e">
        <f>AND(#REF!,"AAAAAD+v/7Q=")</f>
        <v>#REF!</v>
      </c>
      <c r="FZ4" t="e">
        <f>IF(#REF!,"AAAAAD+v/7U=",0)</f>
        <v>#REF!</v>
      </c>
      <c r="GA4" t="e">
        <f>AND(#REF!,"AAAAAD+v/7Y=")</f>
        <v>#REF!</v>
      </c>
      <c r="GB4" t="e">
        <f>AND(#REF!,"AAAAAD+v/7c=")</f>
        <v>#REF!</v>
      </c>
      <c r="GC4" t="e">
        <f>AND(#REF!,"AAAAAD+v/7g=")</f>
        <v>#REF!</v>
      </c>
      <c r="GD4" t="e">
        <f>AND(#REF!,"AAAAAD+v/7k=")</f>
        <v>#REF!</v>
      </c>
      <c r="GE4" t="e">
        <f>AND(#REF!,"AAAAAD+v/7o=")</f>
        <v>#REF!</v>
      </c>
      <c r="GF4" t="e">
        <f>AND(#REF!,"AAAAAD+v/7s=")</f>
        <v>#REF!</v>
      </c>
      <c r="GG4" t="e">
        <f>AND(#REF!,"AAAAAD+v/7w=")</f>
        <v>#REF!</v>
      </c>
      <c r="GH4" t="e">
        <f>AND(#REF!,"AAAAAD+v/70=")</f>
        <v>#REF!</v>
      </c>
      <c r="GI4" t="e">
        <f>IF(#REF!,"AAAAAD+v/74=",0)</f>
        <v>#REF!</v>
      </c>
      <c r="GJ4" t="e">
        <f>AND(#REF!,"AAAAAD+v/78=")</f>
        <v>#REF!</v>
      </c>
      <c r="GK4" t="e">
        <f>AND(#REF!,"AAAAAD+v/8A=")</f>
        <v>#REF!</v>
      </c>
      <c r="GL4" t="e">
        <f>AND(#REF!,"AAAAAD+v/8E=")</f>
        <v>#REF!</v>
      </c>
      <c r="GM4" t="e">
        <f>AND(#REF!,"AAAAAD+v/8I=")</f>
        <v>#REF!</v>
      </c>
      <c r="GN4" t="e">
        <f>AND(#REF!,"AAAAAD+v/8M=")</f>
        <v>#REF!</v>
      </c>
      <c r="GO4" t="e">
        <f>AND(#REF!,"AAAAAD+v/8Q=")</f>
        <v>#REF!</v>
      </c>
      <c r="GP4" t="e">
        <f>AND(#REF!,"AAAAAD+v/8U=")</f>
        <v>#REF!</v>
      </c>
      <c r="GQ4" t="e">
        <f>AND(#REF!,"AAAAAD+v/8Y=")</f>
        <v>#REF!</v>
      </c>
      <c r="GR4" t="e">
        <f>IF(#REF!,"AAAAAD+v/8c=",0)</f>
        <v>#REF!</v>
      </c>
      <c r="GS4" t="e">
        <f>AND(#REF!,"AAAAAD+v/8g=")</f>
        <v>#REF!</v>
      </c>
      <c r="GT4" t="e">
        <f>AND(#REF!,"AAAAAD+v/8k=")</f>
        <v>#REF!</v>
      </c>
      <c r="GU4" t="e">
        <f>AND(#REF!,"AAAAAD+v/8o=")</f>
        <v>#REF!</v>
      </c>
      <c r="GV4" t="e">
        <f>AND(#REF!,"AAAAAD+v/8s=")</f>
        <v>#REF!</v>
      </c>
      <c r="GW4" t="e">
        <f>AND(#REF!,"AAAAAD+v/8w=")</f>
        <v>#REF!</v>
      </c>
      <c r="GX4" t="e">
        <f>AND(#REF!,"AAAAAD+v/80=")</f>
        <v>#REF!</v>
      </c>
      <c r="GY4" t="e">
        <f>AND(#REF!,"AAAAAD+v/84=")</f>
        <v>#REF!</v>
      </c>
      <c r="GZ4" t="e">
        <f>AND(#REF!,"AAAAAD+v/88=")</f>
        <v>#REF!</v>
      </c>
      <c r="HA4" t="e">
        <f>IF(#REF!,"AAAAAD+v/9A=",0)</f>
        <v>#REF!</v>
      </c>
      <c r="HB4" t="e">
        <f>AND(#REF!,"AAAAAD+v/9E=")</f>
        <v>#REF!</v>
      </c>
      <c r="HC4" t="e">
        <f>AND(#REF!,"AAAAAD+v/9I=")</f>
        <v>#REF!</v>
      </c>
      <c r="HD4" t="e">
        <f>AND(#REF!,"AAAAAD+v/9M=")</f>
        <v>#REF!</v>
      </c>
      <c r="HE4" t="e">
        <f>AND(#REF!,"AAAAAD+v/9Q=")</f>
        <v>#REF!</v>
      </c>
      <c r="HF4" t="e">
        <f>AND(#REF!,"AAAAAD+v/9U=")</f>
        <v>#REF!</v>
      </c>
      <c r="HG4" t="e">
        <f>AND(#REF!,"AAAAAD+v/9Y=")</f>
        <v>#REF!</v>
      </c>
      <c r="HH4" t="e">
        <f>AND(#REF!,"AAAAAD+v/9c=")</f>
        <v>#REF!</v>
      </c>
      <c r="HI4" t="e">
        <f>AND(#REF!,"AAAAAD+v/9g=")</f>
        <v>#REF!</v>
      </c>
      <c r="HJ4" t="e">
        <f>IF(#REF!,"AAAAAD+v/9k=",0)</f>
        <v>#REF!</v>
      </c>
      <c r="HK4" t="e">
        <f>AND(#REF!,"AAAAAD+v/9o=")</f>
        <v>#REF!</v>
      </c>
      <c r="HL4" t="e">
        <f>AND(#REF!,"AAAAAD+v/9s=")</f>
        <v>#REF!</v>
      </c>
      <c r="HM4" t="e">
        <f>AND(#REF!,"AAAAAD+v/9w=")</f>
        <v>#REF!</v>
      </c>
      <c r="HN4" t="e">
        <f>AND(#REF!,"AAAAAD+v/90=")</f>
        <v>#REF!</v>
      </c>
      <c r="HO4" t="e">
        <f>AND(#REF!,"AAAAAD+v/94=")</f>
        <v>#REF!</v>
      </c>
      <c r="HP4" t="e">
        <f>AND(#REF!,"AAAAAD+v/98=")</f>
        <v>#REF!</v>
      </c>
      <c r="HQ4" t="e">
        <f>AND(#REF!,"AAAAAD+v/+A=")</f>
        <v>#REF!</v>
      </c>
      <c r="HR4" t="e">
        <f>AND(#REF!,"AAAAAD+v/+E=")</f>
        <v>#REF!</v>
      </c>
      <c r="HS4" t="e">
        <f>IF(#REF!,"AAAAAD+v/+I=",0)</f>
        <v>#REF!</v>
      </c>
      <c r="HT4" t="e">
        <f>AND(#REF!,"AAAAAD+v/+M=")</f>
        <v>#REF!</v>
      </c>
      <c r="HU4" t="e">
        <f>AND(#REF!,"AAAAAD+v/+Q=")</f>
        <v>#REF!</v>
      </c>
      <c r="HV4" t="e">
        <f>AND(#REF!,"AAAAAD+v/+U=")</f>
        <v>#REF!</v>
      </c>
      <c r="HW4" t="e">
        <f>AND(#REF!,"AAAAAD+v/+Y=")</f>
        <v>#REF!</v>
      </c>
      <c r="HX4" t="e">
        <f>AND(#REF!,"AAAAAD+v/+c=")</f>
        <v>#REF!</v>
      </c>
      <c r="HY4" t="e">
        <f>AND(#REF!,"AAAAAD+v/+g=")</f>
        <v>#REF!</v>
      </c>
      <c r="HZ4" t="e">
        <f>AND(#REF!,"AAAAAD+v/+k=")</f>
        <v>#REF!</v>
      </c>
      <c r="IA4" t="e">
        <f>AND(#REF!,"AAAAAD+v/+o=")</f>
        <v>#REF!</v>
      </c>
      <c r="IB4" t="e">
        <f>IF(#REF!,"AAAAAD+v/+s=",0)</f>
        <v>#REF!</v>
      </c>
      <c r="IC4" t="e">
        <f>AND(#REF!,"AAAAAD+v/+w=")</f>
        <v>#REF!</v>
      </c>
      <c r="ID4" t="e">
        <f>AND(#REF!,"AAAAAD+v/+0=")</f>
        <v>#REF!</v>
      </c>
      <c r="IE4" t="e">
        <f>AND(#REF!,"AAAAAD+v/+4=")</f>
        <v>#REF!</v>
      </c>
      <c r="IF4" t="e">
        <f>AND(#REF!,"AAAAAD+v/+8=")</f>
        <v>#REF!</v>
      </c>
      <c r="IG4" t="e">
        <f>AND(#REF!,"AAAAAD+v//A=")</f>
        <v>#REF!</v>
      </c>
      <c r="IH4" t="e">
        <f>AND(#REF!,"AAAAAD+v//E=")</f>
        <v>#REF!</v>
      </c>
      <c r="II4" t="e">
        <f>AND(#REF!,"AAAAAD+v//I=")</f>
        <v>#REF!</v>
      </c>
      <c r="IJ4" t="e">
        <f>AND(#REF!,"AAAAAD+v//M=")</f>
        <v>#REF!</v>
      </c>
      <c r="IK4" t="e">
        <f>IF(#REF!,"AAAAAD+v//Q=",0)</f>
        <v>#REF!</v>
      </c>
      <c r="IL4" t="e">
        <f>AND(#REF!,"AAAAAD+v//U=")</f>
        <v>#REF!</v>
      </c>
      <c r="IM4" t="e">
        <f>AND(#REF!,"AAAAAD+v//Y=")</f>
        <v>#REF!</v>
      </c>
      <c r="IN4" t="e">
        <f>AND(#REF!,"AAAAAD+v//c=")</f>
        <v>#REF!</v>
      </c>
      <c r="IO4" t="e">
        <f>AND(#REF!,"AAAAAD+v//g=")</f>
        <v>#REF!</v>
      </c>
      <c r="IP4" t="e">
        <f>AND(#REF!,"AAAAAD+v//k=")</f>
        <v>#REF!</v>
      </c>
      <c r="IQ4" t="e">
        <f>AND(#REF!,"AAAAAD+v//o=")</f>
        <v>#REF!</v>
      </c>
      <c r="IR4" t="e">
        <f>AND(#REF!,"AAAAAD+v//s=")</f>
        <v>#REF!</v>
      </c>
      <c r="IS4" t="e">
        <f>AND(#REF!,"AAAAAD+v//w=")</f>
        <v>#REF!</v>
      </c>
      <c r="IT4" t="e">
        <f>IF(#REF!,"AAAAAD+v//0=",0)</f>
        <v>#REF!</v>
      </c>
      <c r="IU4" t="e">
        <f>AND(#REF!,"AAAAAD+v//4=")</f>
        <v>#REF!</v>
      </c>
      <c r="IV4" t="e">
        <f>AND(#REF!,"AAAAAD+v//8=")</f>
        <v>#REF!</v>
      </c>
    </row>
    <row r="5" spans="1:256" ht="12.75">
      <c r="A5" t="e">
        <f>AND(#REF!,"AAAAAH/f/QA=")</f>
        <v>#REF!</v>
      </c>
      <c r="B5" t="e">
        <f>AND(#REF!,"AAAAAH/f/QE=")</f>
        <v>#REF!</v>
      </c>
      <c r="C5" t="e">
        <f>AND(#REF!,"AAAAAH/f/QI=")</f>
        <v>#REF!</v>
      </c>
      <c r="D5" t="e">
        <f>AND(#REF!,"AAAAAH/f/QM=")</f>
        <v>#REF!</v>
      </c>
      <c r="E5" t="e">
        <f>AND(#REF!,"AAAAAH/f/QQ=")</f>
        <v>#REF!</v>
      </c>
      <c r="F5" t="e">
        <f>AND(#REF!,"AAAAAH/f/QU=")</f>
        <v>#REF!</v>
      </c>
      <c r="G5" t="e">
        <f>IF(#REF!,"AAAAAH/f/QY=",0)</f>
        <v>#REF!</v>
      </c>
      <c r="H5" t="e">
        <f>AND(#REF!,"AAAAAH/f/Qc=")</f>
        <v>#REF!</v>
      </c>
      <c r="I5" t="e">
        <f>AND(#REF!,"AAAAAH/f/Qg=")</f>
        <v>#REF!</v>
      </c>
      <c r="J5" t="e">
        <f>AND(#REF!,"AAAAAH/f/Qk=")</f>
        <v>#REF!</v>
      </c>
      <c r="K5" t="e">
        <f>AND(#REF!,"AAAAAH/f/Qo=")</f>
        <v>#REF!</v>
      </c>
      <c r="L5" t="e">
        <f>AND(#REF!,"AAAAAH/f/Qs=")</f>
        <v>#REF!</v>
      </c>
      <c r="M5" t="e">
        <f>AND(#REF!,"AAAAAH/f/Qw=")</f>
        <v>#REF!</v>
      </c>
      <c r="N5" t="e">
        <f>AND(#REF!,"AAAAAH/f/Q0=")</f>
        <v>#REF!</v>
      </c>
      <c r="O5" t="e">
        <f>AND(#REF!,"AAAAAH/f/Q4=")</f>
        <v>#REF!</v>
      </c>
      <c r="P5" t="e">
        <f>IF(#REF!,"AAAAAH/f/Q8=",0)</f>
        <v>#REF!</v>
      </c>
      <c r="Q5" t="e">
        <f>AND(#REF!,"AAAAAH/f/RA=")</f>
        <v>#REF!</v>
      </c>
      <c r="R5" t="e">
        <f>AND(#REF!,"AAAAAH/f/RE=")</f>
        <v>#REF!</v>
      </c>
      <c r="S5" t="e">
        <f>AND(#REF!,"AAAAAH/f/RI=")</f>
        <v>#REF!</v>
      </c>
      <c r="T5" t="e">
        <f>AND(#REF!,"AAAAAH/f/RM=")</f>
        <v>#REF!</v>
      </c>
      <c r="U5" t="e">
        <f>AND(#REF!,"AAAAAH/f/RQ=")</f>
        <v>#REF!</v>
      </c>
      <c r="V5" t="e">
        <f>AND(#REF!,"AAAAAH/f/RU=")</f>
        <v>#REF!</v>
      </c>
      <c r="W5" t="e">
        <f>AND(#REF!,"AAAAAH/f/RY=")</f>
        <v>#REF!</v>
      </c>
      <c r="X5" t="e">
        <f>AND(#REF!,"AAAAAH/f/Rc=")</f>
        <v>#REF!</v>
      </c>
      <c r="Y5" t="e">
        <f>IF(#REF!,"AAAAAH/f/Rg=",0)</f>
        <v>#REF!</v>
      </c>
      <c r="Z5" t="e">
        <f>IF(#REF!,"AAAAAH/f/Rk=",0)</f>
        <v>#REF!</v>
      </c>
      <c r="AA5" t="e">
        <f>IF(#REF!,"AAAAAH/f/Ro=",0)</f>
        <v>#REF!</v>
      </c>
      <c r="AB5" t="e">
        <f>IF(#REF!,"AAAAAH/f/Rs=",0)</f>
        <v>#REF!</v>
      </c>
      <c r="AC5" t="e">
        <f>IF(#REF!,"AAAAAH/f/Rw=",0)</f>
        <v>#REF!</v>
      </c>
      <c r="AD5" t="e">
        <f>IF(#REF!,"AAAAAH/f/R0=",0)</f>
        <v>#REF!</v>
      </c>
      <c r="AE5" t="e">
        <f>IF(#REF!,"AAAAAH/f/R4=",0)</f>
        <v>#REF!</v>
      </c>
      <c r="AF5" t="e">
        <f>IF(#REF!,"AAAAAH/f/R8=",0)</f>
        <v>#REF!</v>
      </c>
      <c r="AG5" t="e">
        <f>IF(#REF!,"AAAAAH/f/SA=",0)</f>
        <v>#REF!</v>
      </c>
      <c r="AH5" t="e">
        <f>IF(#REF!,"AAAAAH/f/SE=",0)</f>
        <v>#REF!</v>
      </c>
      <c r="AI5" t="e">
        <f>AND(#REF!,"AAAAAH/f/SI=")</f>
        <v>#REF!</v>
      </c>
      <c r="AJ5" t="e">
        <f>AND(#REF!,"AAAAAH/f/SM=")</f>
        <v>#REF!</v>
      </c>
      <c r="AK5" t="e">
        <f>AND(#REF!,"AAAAAH/f/SQ=")</f>
        <v>#REF!</v>
      </c>
      <c r="AL5" t="e">
        <f>AND(#REF!,"AAAAAH/f/SU=")</f>
        <v>#REF!</v>
      </c>
      <c r="AM5" t="e">
        <f>AND(#REF!,"AAAAAH/f/SY=")</f>
        <v>#REF!</v>
      </c>
      <c r="AN5" t="e">
        <f>AND(#REF!,"AAAAAH/f/Sc=")</f>
        <v>#REF!</v>
      </c>
      <c r="AO5" t="e">
        <f>AND(#REF!,"AAAAAH/f/Sg=")</f>
        <v>#REF!</v>
      </c>
      <c r="AP5" t="e">
        <f>AND(#REF!,"AAAAAH/f/Sk=")</f>
        <v>#REF!</v>
      </c>
      <c r="AQ5" t="e">
        <f>AND(#REF!,"AAAAAH/f/So=")</f>
        <v>#REF!</v>
      </c>
      <c r="AR5" t="e">
        <f>AND(#REF!,"AAAAAH/f/Ss=")</f>
        <v>#REF!</v>
      </c>
      <c r="AS5" t="e">
        <f>AND(#REF!,"AAAAAH/f/Sw=")</f>
        <v>#REF!</v>
      </c>
      <c r="AT5" t="e">
        <f>AND(#REF!,"AAAAAH/f/S0=")</f>
        <v>#REF!</v>
      </c>
      <c r="AU5" t="e">
        <f>AND(#REF!,"AAAAAH/f/S4=")</f>
        <v>#REF!</v>
      </c>
      <c r="AV5" t="e">
        <f>AND(#REF!,"AAAAAH/f/S8=")</f>
        <v>#REF!</v>
      </c>
      <c r="AW5" t="e">
        <f>IF(#REF!,"AAAAAH/f/TA=",0)</f>
        <v>#REF!</v>
      </c>
      <c r="AX5" t="e">
        <f>AND(#REF!,"AAAAAH/f/TE=")</f>
        <v>#REF!</v>
      </c>
      <c r="AY5" t="e">
        <f>AND(#REF!,"AAAAAH/f/TI=")</f>
        <v>#REF!</v>
      </c>
      <c r="AZ5" t="e">
        <f>AND(#REF!,"AAAAAH/f/TM=")</f>
        <v>#REF!</v>
      </c>
      <c r="BA5" t="e">
        <f>AND(#REF!,"AAAAAH/f/TQ=")</f>
        <v>#REF!</v>
      </c>
      <c r="BB5" t="e">
        <f>AND(#REF!,"AAAAAH/f/TU=")</f>
        <v>#REF!</v>
      </c>
      <c r="BC5" t="e">
        <f>AND(#REF!,"AAAAAH/f/TY=")</f>
        <v>#REF!</v>
      </c>
      <c r="BD5" t="e">
        <f>AND(#REF!,"AAAAAH/f/Tc=")</f>
        <v>#REF!</v>
      </c>
      <c r="BE5" t="e">
        <f>AND(#REF!,"AAAAAH/f/Tg=")</f>
        <v>#REF!</v>
      </c>
      <c r="BF5" t="e">
        <f>AND(#REF!,"AAAAAH/f/Tk=")</f>
        <v>#REF!</v>
      </c>
      <c r="BG5" t="e">
        <f>AND(#REF!,"AAAAAH/f/To=")</f>
        <v>#REF!</v>
      </c>
      <c r="BH5" t="e">
        <f>AND(#REF!,"AAAAAH/f/Ts=")</f>
        <v>#REF!</v>
      </c>
      <c r="BI5" t="e">
        <f>AND(#REF!,"AAAAAH/f/Tw=")</f>
        <v>#REF!</v>
      </c>
      <c r="BJ5" t="e">
        <f>AND(#REF!,"AAAAAH/f/T0=")</f>
        <v>#REF!</v>
      </c>
      <c r="BK5" t="e">
        <f>AND(#REF!,"AAAAAH/f/T4=")</f>
        <v>#REF!</v>
      </c>
      <c r="BL5" t="e">
        <f>IF(#REF!,"AAAAAH/f/T8=",0)</f>
        <v>#REF!</v>
      </c>
      <c r="BM5" t="e">
        <f>AND(#REF!,"AAAAAH/f/UA=")</f>
        <v>#REF!</v>
      </c>
      <c r="BN5" t="e">
        <f>AND(#REF!,"AAAAAH/f/UE=")</f>
        <v>#REF!</v>
      </c>
      <c r="BO5" t="e">
        <f>AND(#REF!,"AAAAAH/f/UI=")</f>
        <v>#REF!</v>
      </c>
      <c r="BP5" t="e">
        <f>AND(#REF!,"AAAAAH/f/UM=")</f>
        <v>#REF!</v>
      </c>
      <c r="BQ5" t="e">
        <f>AND(#REF!,"AAAAAH/f/UQ=")</f>
        <v>#REF!</v>
      </c>
      <c r="BR5" t="e">
        <f>AND(#REF!,"AAAAAH/f/UU=")</f>
        <v>#REF!</v>
      </c>
      <c r="BS5" t="e">
        <f>AND(#REF!,"AAAAAH/f/UY=")</f>
        <v>#REF!</v>
      </c>
      <c r="BT5" t="e">
        <f>AND(#REF!,"AAAAAH/f/Uc=")</f>
        <v>#REF!</v>
      </c>
      <c r="BU5" t="e">
        <f>AND(#REF!,"AAAAAH/f/Ug=")</f>
        <v>#REF!</v>
      </c>
      <c r="BV5" t="e">
        <f>AND(#REF!,"AAAAAH/f/Uk=")</f>
        <v>#REF!</v>
      </c>
      <c r="BW5" t="e">
        <f>AND(#REF!,"AAAAAH/f/Uo=")</f>
        <v>#REF!</v>
      </c>
      <c r="BX5" t="e">
        <f>AND(#REF!,"AAAAAH/f/Us=")</f>
        <v>#REF!</v>
      </c>
      <c r="BY5" t="e">
        <f>AND(#REF!,"AAAAAH/f/Uw=")</f>
        <v>#REF!</v>
      </c>
      <c r="BZ5" t="e">
        <f>AND(#REF!,"AAAAAH/f/U0=")</f>
        <v>#REF!</v>
      </c>
      <c r="CA5" t="e">
        <f>IF(#REF!,"AAAAAH/f/U4=",0)</f>
        <v>#REF!</v>
      </c>
      <c r="CB5" t="e">
        <f>AND(#REF!,"AAAAAH/f/U8=")</f>
        <v>#REF!</v>
      </c>
      <c r="CC5" t="e">
        <f>AND(#REF!,"AAAAAH/f/VA=")</f>
        <v>#REF!</v>
      </c>
      <c r="CD5" t="e">
        <f>AND(#REF!,"AAAAAH/f/VE=")</f>
        <v>#REF!</v>
      </c>
      <c r="CE5" t="e">
        <f>AND(#REF!,"AAAAAH/f/VI=")</f>
        <v>#REF!</v>
      </c>
      <c r="CF5" t="e">
        <f>AND(#REF!,"AAAAAH/f/VM=")</f>
        <v>#REF!</v>
      </c>
      <c r="CG5" t="e">
        <f>AND(#REF!,"AAAAAH/f/VQ=")</f>
        <v>#REF!</v>
      </c>
      <c r="CH5" t="e">
        <f>AND(#REF!,"AAAAAH/f/VU=")</f>
        <v>#REF!</v>
      </c>
      <c r="CI5" t="e">
        <f>AND(#REF!,"AAAAAH/f/VY=")</f>
        <v>#REF!</v>
      </c>
      <c r="CJ5" t="e">
        <f>AND(#REF!,"AAAAAH/f/Vc=")</f>
        <v>#REF!</v>
      </c>
      <c r="CK5" t="e">
        <f>AND(#REF!,"AAAAAH/f/Vg=")</f>
        <v>#REF!</v>
      </c>
      <c r="CL5" t="e">
        <f>AND(#REF!,"AAAAAH/f/Vk=")</f>
        <v>#REF!</v>
      </c>
      <c r="CM5" t="e">
        <f>AND(#REF!,"AAAAAH/f/Vo=")</f>
        <v>#REF!</v>
      </c>
      <c r="CN5" t="e">
        <f>AND(#REF!,"AAAAAH/f/Vs=")</f>
        <v>#REF!</v>
      </c>
      <c r="CO5" t="e">
        <f>AND(#REF!,"AAAAAH/f/Vw=")</f>
        <v>#REF!</v>
      </c>
      <c r="CP5" t="e">
        <f>IF(#REF!,"AAAAAH/f/V0=",0)</f>
        <v>#REF!</v>
      </c>
      <c r="CQ5" t="e">
        <f>AND(#REF!,"AAAAAH/f/V4=")</f>
        <v>#REF!</v>
      </c>
      <c r="CR5" t="e">
        <f>AND(#REF!,"AAAAAH/f/V8=")</f>
        <v>#REF!</v>
      </c>
      <c r="CS5" t="e">
        <f>AND(#REF!,"AAAAAH/f/WA=")</f>
        <v>#REF!</v>
      </c>
      <c r="CT5" t="e">
        <f>AND(#REF!,"AAAAAH/f/WE=")</f>
        <v>#REF!</v>
      </c>
      <c r="CU5" t="e">
        <f>AND(#REF!,"AAAAAH/f/WI=")</f>
        <v>#REF!</v>
      </c>
      <c r="CV5" t="e">
        <f>AND(#REF!,"AAAAAH/f/WM=")</f>
        <v>#REF!</v>
      </c>
      <c r="CW5" t="e">
        <f>AND(#REF!,"AAAAAH/f/WQ=")</f>
        <v>#REF!</v>
      </c>
      <c r="CX5" t="e">
        <f>AND(#REF!,"AAAAAH/f/WU=")</f>
        <v>#REF!</v>
      </c>
      <c r="CY5" t="e">
        <f>AND(#REF!,"AAAAAH/f/WY=")</f>
        <v>#REF!</v>
      </c>
      <c r="CZ5" t="e">
        <f>AND(#REF!,"AAAAAH/f/Wc=")</f>
        <v>#REF!</v>
      </c>
      <c r="DA5" t="e">
        <f>AND(#REF!,"AAAAAH/f/Wg=")</f>
        <v>#REF!</v>
      </c>
      <c r="DB5" t="e">
        <f>AND(#REF!,"AAAAAH/f/Wk=")</f>
        <v>#REF!</v>
      </c>
      <c r="DC5" t="e">
        <f>AND(#REF!,"AAAAAH/f/Wo=")</f>
        <v>#REF!</v>
      </c>
      <c r="DD5" t="e">
        <f>AND(#REF!,"AAAAAH/f/Ws=")</f>
        <v>#REF!</v>
      </c>
      <c r="DE5" t="e">
        <f>IF(#REF!,"AAAAAH/f/Ww=",0)</f>
        <v>#REF!</v>
      </c>
      <c r="DF5" t="e">
        <f>AND(#REF!,"AAAAAH/f/W0=")</f>
        <v>#REF!</v>
      </c>
      <c r="DG5" t="e">
        <f>AND(#REF!,"AAAAAH/f/W4=")</f>
        <v>#REF!</v>
      </c>
      <c r="DH5" t="e">
        <f>AND(#REF!,"AAAAAH/f/W8=")</f>
        <v>#REF!</v>
      </c>
      <c r="DI5" t="e">
        <f>AND(#REF!,"AAAAAH/f/XA=")</f>
        <v>#REF!</v>
      </c>
      <c r="DJ5" t="e">
        <f>AND(#REF!,"AAAAAH/f/XE=")</f>
        <v>#REF!</v>
      </c>
      <c r="DK5" t="e">
        <f>AND(#REF!,"AAAAAH/f/XI=")</f>
        <v>#REF!</v>
      </c>
      <c r="DL5" t="e">
        <f>AND(#REF!,"AAAAAH/f/XM=")</f>
        <v>#REF!</v>
      </c>
      <c r="DM5" t="e">
        <f>AND(#REF!,"AAAAAH/f/XQ=")</f>
        <v>#REF!</v>
      </c>
      <c r="DN5" t="e">
        <f>AND(#REF!,"AAAAAH/f/XU=")</f>
        <v>#REF!</v>
      </c>
      <c r="DO5" t="e">
        <f>AND(#REF!,"AAAAAH/f/XY=")</f>
        <v>#REF!</v>
      </c>
      <c r="DP5" t="e">
        <f>AND(#REF!,"AAAAAH/f/Xc=")</f>
        <v>#REF!</v>
      </c>
      <c r="DQ5" t="e">
        <f>AND(#REF!,"AAAAAH/f/Xg=")</f>
        <v>#REF!</v>
      </c>
      <c r="DR5" t="e">
        <f>AND(#REF!,"AAAAAH/f/Xk=")</f>
        <v>#REF!</v>
      </c>
      <c r="DS5" t="e">
        <f>AND(#REF!,"AAAAAH/f/Xo=")</f>
        <v>#REF!</v>
      </c>
      <c r="DT5" t="e">
        <f>IF(#REF!,"AAAAAH/f/Xs=",0)</f>
        <v>#REF!</v>
      </c>
      <c r="DU5" t="e">
        <f>AND(#REF!,"AAAAAH/f/Xw=")</f>
        <v>#REF!</v>
      </c>
      <c r="DV5" t="e">
        <f>AND(#REF!,"AAAAAH/f/X0=")</f>
        <v>#REF!</v>
      </c>
      <c r="DW5" t="e">
        <f>AND(#REF!,"AAAAAH/f/X4=")</f>
        <v>#REF!</v>
      </c>
      <c r="DX5" t="e">
        <f>AND(#REF!,"AAAAAH/f/X8=")</f>
        <v>#REF!</v>
      </c>
      <c r="DY5" t="e">
        <f>AND(#REF!,"AAAAAH/f/YA=")</f>
        <v>#REF!</v>
      </c>
      <c r="DZ5" t="e">
        <f>AND(#REF!,"AAAAAH/f/YE=")</f>
        <v>#REF!</v>
      </c>
      <c r="EA5" t="e">
        <f>AND(#REF!,"AAAAAH/f/YI=")</f>
        <v>#REF!</v>
      </c>
      <c r="EB5" t="e">
        <f>AND(#REF!,"AAAAAH/f/YM=")</f>
        <v>#REF!</v>
      </c>
      <c r="EC5" t="e">
        <f>AND(#REF!,"AAAAAH/f/YQ=")</f>
        <v>#REF!</v>
      </c>
      <c r="ED5" t="e">
        <f>AND(#REF!,"AAAAAH/f/YU=")</f>
        <v>#REF!</v>
      </c>
      <c r="EE5" t="e">
        <f>AND(#REF!,"AAAAAH/f/YY=")</f>
        <v>#REF!</v>
      </c>
      <c r="EF5" t="e">
        <f>AND(#REF!,"AAAAAH/f/Yc=")</f>
        <v>#REF!</v>
      </c>
      <c r="EG5" t="e">
        <f>AND(#REF!,"AAAAAH/f/Yg=")</f>
        <v>#REF!</v>
      </c>
      <c r="EH5" t="e">
        <f>AND(#REF!,"AAAAAH/f/Yk=")</f>
        <v>#REF!</v>
      </c>
      <c r="EI5" t="e">
        <f>IF(#REF!,"AAAAAH/f/Yo=",0)</f>
        <v>#REF!</v>
      </c>
      <c r="EJ5" t="e">
        <f>AND(#REF!,"AAAAAH/f/Ys=")</f>
        <v>#REF!</v>
      </c>
      <c r="EK5" t="e">
        <f>AND(#REF!,"AAAAAH/f/Yw=")</f>
        <v>#REF!</v>
      </c>
      <c r="EL5" t="e">
        <f>AND(#REF!,"AAAAAH/f/Y0=")</f>
        <v>#REF!</v>
      </c>
      <c r="EM5" t="e">
        <f>AND(#REF!,"AAAAAH/f/Y4=")</f>
        <v>#REF!</v>
      </c>
      <c r="EN5" t="e">
        <f>AND(#REF!,"AAAAAH/f/Y8=")</f>
        <v>#REF!</v>
      </c>
      <c r="EO5" t="e">
        <f>AND(#REF!,"AAAAAH/f/ZA=")</f>
        <v>#REF!</v>
      </c>
      <c r="EP5" t="e">
        <f>AND(#REF!,"AAAAAH/f/ZE=")</f>
        <v>#REF!</v>
      </c>
      <c r="EQ5" t="e">
        <f>AND(#REF!,"AAAAAH/f/ZI=")</f>
        <v>#REF!</v>
      </c>
      <c r="ER5" t="e">
        <f>AND(#REF!,"AAAAAH/f/ZM=")</f>
        <v>#REF!</v>
      </c>
      <c r="ES5" t="e">
        <f>AND(#REF!,"AAAAAH/f/ZQ=")</f>
        <v>#REF!</v>
      </c>
      <c r="ET5" t="e">
        <f>AND(#REF!,"AAAAAH/f/ZU=")</f>
        <v>#REF!</v>
      </c>
      <c r="EU5" t="e">
        <f>AND(#REF!,"AAAAAH/f/ZY=")</f>
        <v>#REF!</v>
      </c>
      <c r="EV5" t="e">
        <f>AND(#REF!,"AAAAAH/f/Zc=")</f>
        <v>#REF!</v>
      </c>
      <c r="EW5" t="e">
        <f>AND(#REF!,"AAAAAH/f/Zg=")</f>
        <v>#REF!</v>
      </c>
      <c r="EX5" t="e">
        <f>IF(#REF!,"AAAAAH/f/Zk=",0)</f>
        <v>#REF!</v>
      </c>
      <c r="EY5" t="e">
        <f>AND(#REF!,"AAAAAH/f/Zo=")</f>
        <v>#REF!</v>
      </c>
      <c r="EZ5" t="e">
        <f>AND(#REF!,"AAAAAH/f/Zs=")</f>
        <v>#REF!</v>
      </c>
      <c r="FA5" t="e">
        <f>AND(#REF!,"AAAAAH/f/Zw=")</f>
        <v>#REF!</v>
      </c>
      <c r="FB5" t="e">
        <f>AND(#REF!,"AAAAAH/f/Z0=")</f>
        <v>#REF!</v>
      </c>
      <c r="FC5" t="e">
        <f>AND(#REF!,"AAAAAH/f/Z4=")</f>
        <v>#REF!</v>
      </c>
      <c r="FD5" t="e">
        <f>AND(#REF!,"AAAAAH/f/Z8=")</f>
        <v>#REF!</v>
      </c>
      <c r="FE5" t="e">
        <f>AND(#REF!,"AAAAAH/f/aA=")</f>
        <v>#REF!</v>
      </c>
      <c r="FF5" t="e">
        <f>AND(#REF!,"AAAAAH/f/aE=")</f>
        <v>#REF!</v>
      </c>
      <c r="FG5" t="e">
        <f>AND(#REF!,"AAAAAH/f/aI=")</f>
        <v>#REF!</v>
      </c>
      <c r="FH5" t="e">
        <f>AND(#REF!,"AAAAAH/f/aM=")</f>
        <v>#REF!</v>
      </c>
      <c r="FI5" t="e">
        <f>AND(#REF!,"AAAAAH/f/aQ=")</f>
        <v>#REF!</v>
      </c>
      <c r="FJ5" t="e">
        <f>AND(#REF!,"AAAAAH/f/aU=")</f>
        <v>#REF!</v>
      </c>
      <c r="FK5" t="e">
        <f>AND(#REF!,"AAAAAH/f/aY=")</f>
        <v>#REF!</v>
      </c>
      <c r="FL5" t="e">
        <f>AND(#REF!,"AAAAAH/f/ac=")</f>
        <v>#REF!</v>
      </c>
      <c r="FM5" t="e">
        <f>IF(#REF!,"AAAAAH/f/ag=",0)</f>
        <v>#REF!</v>
      </c>
      <c r="FN5" t="e">
        <f>AND(#REF!,"AAAAAH/f/ak=")</f>
        <v>#REF!</v>
      </c>
      <c r="FO5" t="e">
        <f>AND(#REF!,"AAAAAH/f/ao=")</f>
        <v>#REF!</v>
      </c>
      <c r="FP5" t="e">
        <f>AND(#REF!,"AAAAAH/f/as=")</f>
        <v>#REF!</v>
      </c>
      <c r="FQ5" t="e">
        <f>AND(#REF!,"AAAAAH/f/aw=")</f>
        <v>#REF!</v>
      </c>
      <c r="FR5" t="e">
        <f>AND(#REF!,"AAAAAH/f/a0=")</f>
        <v>#REF!</v>
      </c>
      <c r="FS5" t="e">
        <f>AND(#REF!,"AAAAAH/f/a4=")</f>
        <v>#REF!</v>
      </c>
      <c r="FT5" t="e">
        <f>AND(#REF!,"AAAAAH/f/a8=")</f>
        <v>#REF!</v>
      </c>
      <c r="FU5" t="e">
        <f>AND(#REF!,"AAAAAH/f/bA=")</f>
        <v>#REF!</v>
      </c>
      <c r="FV5" t="e">
        <f>AND(#REF!,"AAAAAH/f/bE=")</f>
        <v>#REF!</v>
      </c>
      <c r="FW5" t="e">
        <f>AND(#REF!,"AAAAAH/f/bI=")</f>
        <v>#REF!</v>
      </c>
      <c r="FX5" t="e">
        <f>AND(#REF!,"AAAAAH/f/bM=")</f>
        <v>#REF!</v>
      </c>
      <c r="FY5" t="e">
        <f>AND(#REF!,"AAAAAH/f/bQ=")</f>
        <v>#REF!</v>
      </c>
      <c r="FZ5" t="e">
        <f>AND(#REF!,"AAAAAH/f/bU=")</f>
        <v>#REF!</v>
      </c>
      <c r="GA5" t="e">
        <f>AND(#REF!,"AAAAAH/f/bY=")</f>
        <v>#REF!</v>
      </c>
      <c r="GB5" t="e">
        <f>IF(#REF!,"AAAAAH/f/bc=",0)</f>
        <v>#REF!</v>
      </c>
      <c r="GC5" t="e">
        <f>AND(#REF!,"AAAAAH/f/bg=")</f>
        <v>#REF!</v>
      </c>
      <c r="GD5" t="e">
        <f>AND(#REF!,"AAAAAH/f/bk=")</f>
        <v>#REF!</v>
      </c>
      <c r="GE5" t="e">
        <f>AND(#REF!,"AAAAAH/f/bo=")</f>
        <v>#REF!</v>
      </c>
      <c r="GF5" t="e">
        <f>AND(#REF!,"AAAAAH/f/bs=")</f>
        <v>#REF!</v>
      </c>
      <c r="GG5" t="e">
        <f>AND(#REF!,"AAAAAH/f/bw=")</f>
        <v>#REF!</v>
      </c>
      <c r="GH5" t="e">
        <f>AND(#REF!,"AAAAAH/f/b0=")</f>
        <v>#REF!</v>
      </c>
      <c r="GI5" t="e">
        <f>AND(#REF!,"AAAAAH/f/b4=")</f>
        <v>#REF!</v>
      </c>
      <c r="GJ5" t="e">
        <f>AND(#REF!,"AAAAAH/f/b8=")</f>
        <v>#REF!</v>
      </c>
      <c r="GK5" t="e">
        <f>AND(#REF!,"AAAAAH/f/cA=")</f>
        <v>#REF!</v>
      </c>
      <c r="GL5" t="e">
        <f>AND(#REF!,"AAAAAH/f/cE=")</f>
        <v>#REF!</v>
      </c>
      <c r="GM5" t="e">
        <f>AND(#REF!,"AAAAAH/f/cI=")</f>
        <v>#REF!</v>
      </c>
      <c r="GN5" t="e">
        <f>AND(#REF!,"AAAAAH/f/cM=")</f>
        <v>#REF!</v>
      </c>
      <c r="GO5" t="e">
        <f>AND(#REF!,"AAAAAH/f/cQ=")</f>
        <v>#REF!</v>
      </c>
      <c r="GP5" t="e">
        <f>AND(#REF!,"AAAAAH/f/cU=")</f>
        <v>#REF!</v>
      </c>
      <c r="GQ5" t="e">
        <f>IF(#REF!,"AAAAAH/f/cY=",0)</f>
        <v>#REF!</v>
      </c>
      <c r="GR5" t="e">
        <f>AND(#REF!,"AAAAAH/f/cc=")</f>
        <v>#REF!</v>
      </c>
      <c r="GS5" t="e">
        <f>AND(#REF!,"AAAAAH/f/cg=")</f>
        <v>#REF!</v>
      </c>
      <c r="GT5" t="e">
        <f>AND(#REF!,"AAAAAH/f/ck=")</f>
        <v>#REF!</v>
      </c>
      <c r="GU5" t="e">
        <f>AND(#REF!,"AAAAAH/f/co=")</f>
        <v>#REF!</v>
      </c>
      <c r="GV5" t="e">
        <f>AND(#REF!,"AAAAAH/f/cs=")</f>
        <v>#REF!</v>
      </c>
      <c r="GW5" t="e">
        <f>AND(#REF!,"AAAAAH/f/cw=")</f>
        <v>#REF!</v>
      </c>
      <c r="GX5" t="e">
        <f>AND(#REF!,"AAAAAH/f/c0=")</f>
        <v>#REF!</v>
      </c>
      <c r="GY5" t="e">
        <f>AND(#REF!,"AAAAAH/f/c4=")</f>
        <v>#REF!</v>
      </c>
      <c r="GZ5" t="e">
        <f>AND(#REF!,"AAAAAH/f/c8=")</f>
        <v>#REF!</v>
      </c>
      <c r="HA5" t="e">
        <f>AND(#REF!,"AAAAAH/f/dA=")</f>
        <v>#REF!</v>
      </c>
      <c r="HB5" t="e">
        <f>AND(#REF!,"AAAAAH/f/dE=")</f>
        <v>#REF!</v>
      </c>
      <c r="HC5" t="e">
        <f>AND(#REF!,"AAAAAH/f/dI=")</f>
        <v>#REF!</v>
      </c>
      <c r="HD5" t="e">
        <f>AND(#REF!,"AAAAAH/f/dM=")</f>
        <v>#REF!</v>
      </c>
      <c r="HE5" t="e">
        <f>AND(#REF!,"AAAAAH/f/dQ=")</f>
        <v>#REF!</v>
      </c>
      <c r="HF5" t="e">
        <f>IF(#REF!,"AAAAAH/f/dU=",0)</f>
        <v>#REF!</v>
      </c>
      <c r="HG5" t="e">
        <f>AND(#REF!,"AAAAAH/f/dY=")</f>
        <v>#REF!</v>
      </c>
      <c r="HH5" t="e">
        <f>AND(#REF!,"AAAAAH/f/dc=")</f>
        <v>#REF!</v>
      </c>
      <c r="HI5" t="e">
        <f>AND(#REF!,"AAAAAH/f/dg=")</f>
        <v>#REF!</v>
      </c>
      <c r="HJ5" t="e">
        <f>AND(#REF!,"AAAAAH/f/dk=")</f>
        <v>#REF!</v>
      </c>
      <c r="HK5" t="e">
        <f>AND(#REF!,"AAAAAH/f/do=")</f>
        <v>#REF!</v>
      </c>
      <c r="HL5" t="e">
        <f>AND(#REF!,"AAAAAH/f/ds=")</f>
        <v>#REF!</v>
      </c>
      <c r="HM5" t="e">
        <f>AND(#REF!,"AAAAAH/f/dw=")</f>
        <v>#REF!</v>
      </c>
      <c r="HN5" t="e">
        <f>AND(#REF!,"AAAAAH/f/d0=")</f>
        <v>#REF!</v>
      </c>
      <c r="HO5" t="e">
        <f>AND(#REF!,"AAAAAH/f/d4=")</f>
        <v>#REF!</v>
      </c>
      <c r="HP5" t="e">
        <f>AND(#REF!,"AAAAAH/f/d8=")</f>
        <v>#REF!</v>
      </c>
      <c r="HQ5" t="e">
        <f>AND(#REF!,"AAAAAH/f/eA=")</f>
        <v>#REF!</v>
      </c>
      <c r="HR5" t="e">
        <f>AND(#REF!,"AAAAAH/f/eE=")</f>
        <v>#REF!</v>
      </c>
      <c r="HS5" t="e">
        <f>AND(#REF!,"AAAAAH/f/eI=")</f>
        <v>#REF!</v>
      </c>
      <c r="HT5" t="e">
        <f>AND(#REF!,"AAAAAH/f/eM=")</f>
        <v>#REF!</v>
      </c>
      <c r="HU5" t="e">
        <f>IF(#REF!,"AAAAAH/f/eQ=",0)</f>
        <v>#REF!</v>
      </c>
      <c r="HV5" t="e">
        <f>AND(#REF!,"AAAAAH/f/eU=")</f>
        <v>#REF!</v>
      </c>
      <c r="HW5" t="e">
        <f>AND(#REF!,"AAAAAH/f/eY=")</f>
        <v>#REF!</v>
      </c>
      <c r="HX5" t="e">
        <f>AND(#REF!,"AAAAAH/f/ec=")</f>
        <v>#REF!</v>
      </c>
      <c r="HY5" t="e">
        <f>AND(#REF!,"AAAAAH/f/eg=")</f>
        <v>#REF!</v>
      </c>
      <c r="HZ5" t="e">
        <f>AND(#REF!,"AAAAAH/f/ek=")</f>
        <v>#REF!</v>
      </c>
      <c r="IA5" t="e">
        <f>AND(#REF!,"AAAAAH/f/eo=")</f>
        <v>#REF!</v>
      </c>
      <c r="IB5" t="e">
        <f>AND(#REF!,"AAAAAH/f/es=")</f>
        <v>#REF!</v>
      </c>
      <c r="IC5" t="e">
        <f>AND(#REF!,"AAAAAH/f/ew=")</f>
        <v>#REF!</v>
      </c>
      <c r="ID5" t="e">
        <f>AND(#REF!,"AAAAAH/f/e0=")</f>
        <v>#REF!</v>
      </c>
      <c r="IE5" t="e">
        <f>AND(#REF!,"AAAAAH/f/e4=")</f>
        <v>#REF!</v>
      </c>
      <c r="IF5" t="e">
        <f>AND(#REF!,"AAAAAH/f/e8=")</f>
        <v>#REF!</v>
      </c>
      <c r="IG5" t="e">
        <f>AND(#REF!,"AAAAAH/f/fA=")</f>
        <v>#REF!</v>
      </c>
      <c r="IH5" t="e">
        <f>AND(#REF!,"AAAAAH/f/fE=")</f>
        <v>#REF!</v>
      </c>
      <c r="II5" t="e">
        <f>AND(#REF!,"AAAAAH/f/fI=")</f>
        <v>#REF!</v>
      </c>
      <c r="IJ5" t="e">
        <f>IF(#REF!,"AAAAAH/f/fM=",0)</f>
        <v>#REF!</v>
      </c>
      <c r="IK5" t="e">
        <f>AND(#REF!,"AAAAAH/f/fQ=")</f>
        <v>#REF!</v>
      </c>
      <c r="IL5" t="e">
        <f>AND(#REF!,"AAAAAH/f/fU=")</f>
        <v>#REF!</v>
      </c>
      <c r="IM5" t="e">
        <f>AND(#REF!,"AAAAAH/f/fY=")</f>
        <v>#REF!</v>
      </c>
      <c r="IN5" t="e">
        <f>AND(#REF!,"AAAAAH/f/fc=")</f>
        <v>#REF!</v>
      </c>
      <c r="IO5" t="e">
        <f>AND(#REF!,"AAAAAH/f/fg=")</f>
        <v>#REF!</v>
      </c>
      <c r="IP5" t="e">
        <f>AND(#REF!,"AAAAAH/f/fk=")</f>
        <v>#REF!</v>
      </c>
      <c r="IQ5" t="e">
        <f>AND(#REF!,"AAAAAH/f/fo=")</f>
        <v>#REF!</v>
      </c>
      <c r="IR5" t="e">
        <f>AND(#REF!,"AAAAAH/f/fs=")</f>
        <v>#REF!</v>
      </c>
      <c r="IS5" t="e">
        <f>AND(#REF!,"AAAAAH/f/fw=")</f>
        <v>#REF!</v>
      </c>
      <c r="IT5" t="e">
        <f>AND(#REF!,"AAAAAH/f/f0=")</f>
        <v>#REF!</v>
      </c>
      <c r="IU5" t="e">
        <f>AND(#REF!,"AAAAAH/f/f4=")</f>
        <v>#REF!</v>
      </c>
      <c r="IV5" t="e">
        <f>AND(#REF!,"AAAAAH/f/f8=")</f>
        <v>#REF!</v>
      </c>
    </row>
    <row r="6" spans="1:256" ht="12.75">
      <c r="A6" t="e">
        <f>AND(#REF!,"AAAAAB6ttwA=")</f>
        <v>#REF!</v>
      </c>
      <c r="B6" t="e">
        <f>AND(#REF!,"AAAAAB6ttwE=")</f>
        <v>#REF!</v>
      </c>
      <c r="C6" t="e">
        <f>IF(#REF!,"AAAAAB6ttwI=",0)</f>
        <v>#REF!</v>
      </c>
      <c r="D6" t="e">
        <f>IF(#REF!,"AAAAAB6ttwM=",0)</f>
        <v>#REF!</v>
      </c>
      <c r="E6" t="e">
        <f>IF(#REF!,"AAAAAB6ttwQ=",0)</f>
        <v>#REF!</v>
      </c>
      <c r="F6" t="e">
        <f>IF(#REF!,"AAAAAB6ttwU=",0)</f>
        <v>#REF!</v>
      </c>
      <c r="G6" t="e">
        <f>IF(#REF!,"AAAAAB6ttwY=",0)</f>
        <v>#REF!</v>
      </c>
      <c r="H6" t="e">
        <f>IF(#REF!,"AAAAAB6ttwc=",0)</f>
        <v>#REF!</v>
      </c>
      <c r="I6" t="e">
        <f>IF(#REF!,"AAAAAB6ttwg=",0)</f>
        <v>#REF!</v>
      </c>
      <c r="J6" t="e">
        <f>IF(#REF!,"AAAAAB6ttwk=",0)</f>
        <v>#REF!</v>
      </c>
      <c r="K6" t="e">
        <f>IF(#REF!,"AAAAAB6ttwo=",0)</f>
        <v>#REF!</v>
      </c>
      <c r="L6" t="e">
        <f>IF(#REF!,"AAAAAB6ttws=",0)</f>
        <v>#REF!</v>
      </c>
      <c r="M6" t="e">
        <f>IF(#REF!,"AAAAAB6ttww=",0)</f>
        <v>#REF!</v>
      </c>
      <c r="N6" t="e">
        <f>IF(#REF!,"AAAAAB6ttw0=",0)</f>
        <v>#REF!</v>
      </c>
      <c r="O6" t="e">
        <f>IF(#REF!,"AAAAAB6ttw4=",0)</f>
        <v>#REF!</v>
      </c>
      <c r="P6" t="e">
        <f>IF(#REF!,"AAAAAB6ttw8=",0)</f>
        <v>#REF!</v>
      </c>
      <c r="Q6" t="e">
        <f>IF(#REF!,"AAAAAB6ttxA=",0)</f>
        <v>#REF!</v>
      </c>
      <c r="R6" t="e">
        <f>IF(#REF!,"AAAAAB6ttxE=",0)</f>
        <v>#REF!</v>
      </c>
      <c r="S6" t="e">
        <f>IF(#REF!,"AAAAAB6ttxI=",0)</f>
        <v>#REF!</v>
      </c>
      <c r="T6" t="e">
        <f>IF(#REF!,"AAAAAB6ttxM=",0)</f>
        <v>#REF!</v>
      </c>
      <c r="U6" t="e">
        <f>IF(#REF!,"AAAAAB6ttxQ=",0)</f>
        <v>#REF!</v>
      </c>
      <c r="V6" t="e">
        <f>AND(#REF!,"AAAAAB6ttxU=")</f>
        <v>#REF!</v>
      </c>
      <c r="W6" t="e">
        <f>AND(#REF!,"AAAAAB6ttxY=")</f>
        <v>#REF!</v>
      </c>
      <c r="X6" t="e">
        <f>AND(#REF!,"AAAAAB6ttxc=")</f>
        <v>#REF!</v>
      </c>
      <c r="Y6" t="e">
        <f>AND(#REF!,"AAAAAB6ttxg=")</f>
        <v>#REF!</v>
      </c>
      <c r="Z6" t="e">
        <f>AND(#REF!,"AAAAAB6ttxk=")</f>
        <v>#REF!</v>
      </c>
      <c r="AA6" t="e">
        <f>AND(#REF!,"AAAAAB6ttxo=")</f>
        <v>#REF!</v>
      </c>
      <c r="AB6" t="e">
        <f>AND(#REF!,"AAAAAB6ttxs=")</f>
        <v>#REF!</v>
      </c>
      <c r="AC6" t="e">
        <f>AND(#REF!,"AAAAAB6ttxw=")</f>
        <v>#REF!</v>
      </c>
      <c r="AD6" t="e">
        <f>AND(#REF!,"AAAAAB6ttx0=")</f>
        <v>#REF!</v>
      </c>
      <c r="AE6" t="e">
        <f>IF(#REF!,"AAAAAB6ttx4=",0)</f>
        <v>#REF!</v>
      </c>
      <c r="AF6" t="e">
        <f>AND(#REF!,"AAAAAB6ttx8=")</f>
        <v>#REF!</v>
      </c>
      <c r="AG6" t="e">
        <f>AND(#REF!,"AAAAAB6ttyA=")</f>
        <v>#REF!</v>
      </c>
      <c r="AH6" t="e">
        <f>AND(#REF!,"AAAAAB6ttyE=")</f>
        <v>#REF!</v>
      </c>
      <c r="AI6" t="e">
        <f>AND(#REF!,"AAAAAB6ttyI=")</f>
        <v>#REF!</v>
      </c>
      <c r="AJ6" t="e">
        <f>AND(#REF!,"AAAAAB6ttyM=")</f>
        <v>#REF!</v>
      </c>
      <c r="AK6" t="e">
        <f>AND(#REF!,"AAAAAB6ttyQ=")</f>
        <v>#REF!</v>
      </c>
      <c r="AL6" t="e">
        <f>AND(#REF!,"AAAAAB6ttyU=")</f>
        <v>#REF!</v>
      </c>
      <c r="AM6" t="e">
        <f>AND(#REF!,"AAAAAB6ttyY=")</f>
        <v>#REF!</v>
      </c>
      <c r="AN6" t="e">
        <f>AND(#REF!,"AAAAAB6ttyc=")</f>
        <v>#REF!</v>
      </c>
      <c r="AO6" t="e">
        <f>IF(#REF!,"AAAAAB6ttyg=",0)</f>
        <v>#REF!</v>
      </c>
      <c r="AP6" t="e">
        <f>AND(#REF!,"AAAAAB6ttyk=")</f>
        <v>#REF!</v>
      </c>
      <c r="AQ6" t="e">
        <f>AND(#REF!,"AAAAAB6ttyo=")</f>
        <v>#REF!</v>
      </c>
      <c r="AR6" t="e">
        <f>AND(#REF!,"AAAAAB6ttys=")</f>
        <v>#REF!</v>
      </c>
      <c r="AS6" t="e">
        <f>AND(#REF!,"AAAAAB6ttyw=")</f>
        <v>#REF!</v>
      </c>
      <c r="AT6" t="e">
        <f>AND(#REF!,"AAAAAB6tty0=")</f>
        <v>#REF!</v>
      </c>
      <c r="AU6" t="e">
        <f>AND(#REF!,"AAAAAB6tty4=")</f>
        <v>#REF!</v>
      </c>
      <c r="AV6" t="e">
        <f>AND(#REF!,"AAAAAB6tty8=")</f>
        <v>#REF!</v>
      </c>
      <c r="AW6" t="e">
        <f>AND(#REF!,"AAAAAB6ttzA=")</f>
        <v>#REF!</v>
      </c>
      <c r="AX6" t="e">
        <f>AND(#REF!,"AAAAAB6ttzE=")</f>
        <v>#REF!</v>
      </c>
      <c r="AY6" t="e">
        <f>IF(#REF!,"AAAAAB6ttzI=",0)</f>
        <v>#REF!</v>
      </c>
      <c r="AZ6" t="e">
        <f>AND(#REF!,"AAAAAB6ttzM=")</f>
        <v>#REF!</v>
      </c>
      <c r="BA6" t="e">
        <f>AND(#REF!,"AAAAAB6ttzQ=")</f>
        <v>#REF!</v>
      </c>
      <c r="BB6" t="e">
        <f>AND(#REF!,"AAAAAB6ttzU=")</f>
        <v>#REF!</v>
      </c>
      <c r="BC6" t="e">
        <f>AND(#REF!,"AAAAAB6ttzY=")</f>
        <v>#REF!</v>
      </c>
      <c r="BD6" t="e">
        <f>AND(#REF!,"AAAAAB6ttzc=")</f>
        <v>#REF!</v>
      </c>
      <c r="BE6" t="e">
        <f>AND(#REF!,"AAAAAB6ttzg=")</f>
        <v>#REF!</v>
      </c>
      <c r="BF6" t="e">
        <f>AND(#REF!,"AAAAAB6ttzk=")</f>
        <v>#REF!</v>
      </c>
      <c r="BG6" t="e">
        <f>AND(#REF!,"AAAAAB6ttzo=")</f>
        <v>#REF!</v>
      </c>
      <c r="BH6" t="e">
        <f>AND(#REF!,"AAAAAB6ttzs=")</f>
        <v>#REF!</v>
      </c>
      <c r="BI6" t="e">
        <f>IF(#REF!,"AAAAAB6ttzw=",0)</f>
        <v>#REF!</v>
      </c>
      <c r="BJ6" t="e">
        <f>AND(#REF!,"AAAAAB6ttz0=")</f>
        <v>#REF!</v>
      </c>
      <c r="BK6" t="e">
        <f>AND(#REF!,"AAAAAB6ttz4=")</f>
        <v>#REF!</v>
      </c>
      <c r="BL6" t="e">
        <f>AND(#REF!,"AAAAAB6ttz8=")</f>
        <v>#REF!</v>
      </c>
      <c r="BM6" t="e">
        <f>AND(#REF!,"AAAAAB6tt0A=")</f>
        <v>#REF!</v>
      </c>
      <c r="BN6" t="e">
        <f>AND(#REF!,"AAAAAB6tt0E=")</f>
        <v>#REF!</v>
      </c>
      <c r="BO6" t="e">
        <f>AND(#REF!,"AAAAAB6tt0I=")</f>
        <v>#REF!</v>
      </c>
      <c r="BP6" t="e">
        <f>AND(#REF!,"AAAAAB6tt0M=")</f>
        <v>#REF!</v>
      </c>
      <c r="BQ6" t="e">
        <f>AND(#REF!,"AAAAAB6tt0Q=")</f>
        <v>#REF!</v>
      </c>
      <c r="BR6" t="e">
        <f>AND(#REF!,"AAAAAB6tt0U=")</f>
        <v>#REF!</v>
      </c>
      <c r="BS6" t="e">
        <f>IF(#REF!,"AAAAAB6tt0Y=",0)</f>
        <v>#REF!</v>
      </c>
      <c r="BT6" t="e">
        <f>AND(#REF!,"AAAAAB6tt0c=")</f>
        <v>#REF!</v>
      </c>
      <c r="BU6" t="e">
        <f>AND(#REF!,"AAAAAB6tt0g=")</f>
        <v>#REF!</v>
      </c>
      <c r="BV6" t="e">
        <f>AND(#REF!,"AAAAAB6tt0k=")</f>
        <v>#REF!</v>
      </c>
      <c r="BW6" t="e">
        <f>AND(#REF!,"AAAAAB6tt0o=")</f>
        <v>#REF!</v>
      </c>
      <c r="BX6" t="e">
        <f>AND(#REF!,"AAAAAB6tt0s=")</f>
        <v>#REF!</v>
      </c>
      <c r="BY6" t="e">
        <f>AND(#REF!,"AAAAAB6tt0w=")</f>
        <v>#REF!</v>
      </c>
      <c r="BZ6" t="e">
        <f>AND(#REF!,"AAAAAB6tt00=")</f>
        <v>#REF!</v>
      </c>
      <c r="CA6" t="e">
        <f>AND(#REF!,"AAAAAB6tt04=")</f>
        <v>#REF!</v>
      </c>
      <c r="CB6" t="e">
        <f>AND(#REF!,"AAAAAB6tt08=")</f>
        <v>#REF!</v>
      </c>
      <c r="CC6" t="e">
        <f>IF(#REF!,"AAAAAB6tt1A=",0)</f>
        <v>#REF!</v>
      </c>
      <c r="CD6" t="e">
        <f>AND(#REF!,"AAAAAB6tt1E=")</f>
        <v>#REF!</v>
      </c>
      <c r="CE6" t="e">
        <f>AND(#REF!,"AAAAAB6tt1I=")</f>
        <v>#REF!</v>
      </c>
      <c r="CF6" t="e">
        <f>AND(#REF!,"AAAAAB6tt1M=")</f>
        <v>#REF!</v>
      </c>
      <c r="CG6" t="e">
        <f>AND(#REF!,"AAAAAB6tt1Q=")</f>
        <v>#REF!</v>
      </c>
      <c r="CH6" t="e">
        <f>AND(#REF!,"AAAAAB6tt1U=")</f>
        <v>#REF!</v>
      </c>
      <c r="CI6" t="e">
        <f>AND(#REF!,"AAAAAB6tt1Y=")</f>
        <v>#REF!</v>
      </c>
      <c r="CJ6" t="e">
        <f>AND(#REF!,"AAAAAB6tt1c=")</f>
        <v>#REF!</v>
      </c>
      <c r="CK6" t="e">
        <f>AND(#REF!,"AAAAAB6tt1g=")</f>
        <v>#REF!</v>
      </c>
      <c r="CL6" t="e">
        <f>AND(#REF!,"AAAAAB6tt1k=")</f>
        <v>#REF!</v>
      </c>
      <c r="CM6" t="e">
        <f>IF(#REF!,"AAAAAB6tt1o=",0)</f>
        <v>#REF!</v>
      </c>
      <c r="CN6" t="e">
        <f>AND(#REF!,"AAAAAB6tt1s=")</f>
        <v>#REF!</v>
      </c>
      <c r="CO6" t="e">
        <f>AND(#REF!,"AAAAAB6tt1w=")</f>
        <v>#REF!</v>
      </c>
      <c r="CP6" t="e">
        <f>AND(#REF!,"AAAAAB6tt10=")</f>
        <v>#REF!</v>
      </c>
      <c r="CQ6" t="e">
        <f>AND(#REF!,"AAAAAB6tt14=")</f>
        <v>#REF!</v>
      </c>
      <c r="CR6" t="e">
        <f>AND(#REF!,"AAAAAB6tt18=")</f>
        <v>#REF!</v>
      </c>
      <c r="CS6" t="e">
        <f>AND(#REF!,"AAAAAB6tt2A=")</f>
        <v>#REF!</v>
      </c>
      <c r="CT6" t="e">
        <f>AND(#REF!,"AAAAAB6tt2E=")</f>
        <v>#REF!</v>
      </c>
      <c r="CU6" t="e">
        <f>AND(#REF!,"AAAAAB6tt2I=")</f>
        <v>#REF!</v>
      </c>
      <c r="CV6" t="e">
        <f>AND(#REF!,"AAAAAB6tt2M=")</f>
        <v>#REF!</v>
      </c>
      <c r="CW6" t="e">
        <f>IF(#REF!,"AAAAAB6tt2Q=",0)</f>
        <v>#REF!</v>
      </c>
      <c r="CX6" t="e">
        <f>AND(#REF!,"AAAAAB6tt2U=")</f>
        <v>#REF!</v>
      </c>
      <c r="CY6" t="e">
        <f>AND(#REF!,"AAAAAB6tt2Y=")</f>
        <v>#REF!</v>
      </c>
      <c r="CZ6" t="e">
        <f>AND(#REF!,"AAAAAB6tt2c=")</f>
        <v>#REF!</v>
      </c>
      <c r="DA6" t="e">
        <f>AND(#REF!,"AAAAAB6tt2g=")</f>
        <v>#REF!</v>
      </c>
      <c r="DB6" t="e">
        <f>AND(#REF!,"AAAAAB6tt2k=")</f>
        <v>#REF!</v>
      </c>
      <c r="DC6" t="e">
        <f>AND(#REF!,"AAAAAB6tt2o=")</f>
        <v>#REF!</v>
      </c>
      <c r="DD6" t="e">
        <f>AND(#REF!,"AAAAAB6tt2s=")</f>
        <v>#REF!</v>
      </c>
      <c r="DE6" t="e">
        <f>AND(#REF!,"AAAAAB6tt2w=")</f>
        <v>#REF!</v>
      </c>
      <c r="DF6" t="e">
        <f>AND(#REF!,"AAAAAB6tt20=")</f>
        <v>#REF!</v>
      </c>
      <c r="DG6" t="e">
        <f>IF(#REF!,"AAAAAB6tt24=",0)</f>
        <v>#REF!</v>
      </c>
      <c r="DH6" t="e">
        <f>AND(#REF!,"AAAAAB6tt28=")</f>
        <v>#REF!</v>
      </c>
      <c r="DI6" t="e">
        <f>AND(#REF!,"AAAAAB6tt3A=")</f>
        <v>#REF!</v>
      </c>
      <c r="DJ6" t="e">
        <f>AND(#REF!,"AAAAAB6tt3E=")</f>
        <v>#REF!</v>
      </c>
      <c r="DK6" t="e">
        <f>AND(#REF!,"AAAAAB6tt3I=")</f>
        <v>#REF!</v>
      </c>
      <c r="DL6" t="e">
        <f>AND(#REF!,"AAAAAB6tt3M=")</f>
        <v>#REF!</v>
      </c>
      <c r="DM6" t="e">
        <f>AND(#REF!,"AAAAAB6tt3Q=")</f>
        <v>#REF!</v>
      </c>
      <c r="DN6" t="e">
        <f>AND(#REF!,"AAAAAB6tt3U=")</f>
        <v>#REF!</v>
      </c>
      <c r="DO6" t="e">
        <f>AND(#REF!,"AAAAAB6tt3Y=")</f>
        <v>#REF!</v>
      </c>
      <c r="DP6" t="e">
        <f>AND(#REF!,"AAAAAB6tt3c=")</f>
        <v>#REF!</v>
      </c>
      <c r="DQ6" t="e">
        <f>IF(#REF!,"AAAAAB6tt3g=",0)</f>
        <v>#REF!</v>
      </c>
      <c r="DR6" t="e">
        <f>AND(#REF!,"AAAAAB6tt3k=")</f>
        <v>#REF!</v>
      </c>
      <c r="DS6" t="e">
        <f>AND(#REF!,"AAAAAB6tt3o=")</f>
        <v>#REF!</v>
      </c>
      <c r="DT6" t="e">
        <f>AND(#REF!,"AAAAAB6tt3s=")</f>
        <v>#REF!</v>
      </c>
      <c r="DU6" t="e">
        <f>AND(#REF!,"AAAAAB6tt3w=")</f>
        <v>#REF!</v>
      </c>
      <c r="DV6" t="e">
        <f>AND(#REF!,"AAAAAB6tt30=")</f>
        <v>#REF!</v>
      </c>
      <c r="DW6" t="e">
        <f>AND(#REF!,"AAAAAB6tt34=")</f>
        <v>#REF!</v>
      </c>
      <c r="DX6" t="e">
        <f>AND(#REF!,"AAAAAB6tt38=")</f>
        <v>#REF!</v>
      </c>
      <c r="DY6" t="e">
        <f>AND(#REF!,"AAAAAB6tt4A=")</f>
        <v>#REF!</v>
      </c>
      <c r="DZ6" t="e">
        <f>AND(#REF!,"AAAAAB6tt4E=")</f>
        <v>#REF!</v>
      </c>
      <c r="EA6" t="e">
        <f>IF(#REF!,"AAAAAB6tt4I=",0)</f>
        <v>#REF!</v>
      </c>
      <c r="EB6" t="e">
        <f>AND(#REF!,"AAAAAB6tt4M=")</f>
        <v>#REF!</v>
      </c>
      <c r="EC6" t="e">
        <f>AND(#REF!,"AAAAAB6tt4Q=")</f>
        <v>#REF!</v>
      </c>
      <c r="ED6" t="e">
        <f>AND(#REF!,"AAAAAB6tt4U=")</f>
        <v>#REF!</v>
      </c>
      <c r="EE6" t="e">
        <f>AND(#REF!,"AAAAAB6tt4Y=")</f>
        <v>#REF!</v>
      </c>
      <c r="EF6" t="e">
        <f>AND(#REF!,"AAAAAB6tt4c=")</f>
        <v>#REF!</v>
      </c>
      <c r="EG6" t="e">
        <f>AND(#REF!,"AAAAAB6tt4g=")</f>
        <v>#REF!</v>
      </c>
      <c r="EH6" t="e">
        <f>AND(#REF!,"AAAAAB6tt4k=")</f>
        <v>#REF!</v>
      </c>
      <c r="EI6" t="e">
        <f>AND(#REF!,"AAAAAB6tt4o=")</f>
        <v>#REF!</v>
      </c>
      <c r="EJ6" t="e">
        <f>AND(#REF!,"AAAAAB6tt4s=")</f>
        <v>#REF!</v>
      </c>
      <c r="EK6" t="e">
        <f>IF(#REF!,"AAAAAB6tt4w=",0)</f>
        <v>#REF!</v>
      </c>
      <c r="EL6" t="e">
        <f>AND(#REF!,"AAAAAB6tt40=")</f>
        <v>#REF!</v>
      </c>
      <c r="EM6" t="e">
        <f>AND(#REF!,"AAAAAB6tt44=")</f>
        <v>#REF!</v>
      </c>
      <c r="EN6" t="e">
        <f>AND(#REF!,"AAAAAB6tt48=")</f>
        <v>#REF!</v>
      </c>
      <c r="EO6" t="e">
        <f>AND(#REF!,"AAAAAB6tt5A=")</f>
        <v>#REF!</v>
      </c>
      <c r="EP6" t="e">
        <f>AND(#REF!,"AAAAAB6tt5E=")</f>
        <v>#REF!</v>
      </c>
      <c r="EQ6" t="e">
        <f>AND(#REF!,"AAAAAB6tt5I=")</f>
        <v>#REF!</v>
      </c>
      <c r="ER6" t="e">
        <f>AND(#REF!,"AAAAAB6tt5M=")</f>
        <v>#REF!</v>
      </c>
      <c r="ES6" t="e">
        <f>AND(#REF!,"AAAAAB6tt5Q=")</f>
        <v>#REF!</v>
      </c>
      <c r="ET6" t="e">
        <f>AND(#REF!,"AAAAAB6tt5U=")</f>
        <v>#REF!</v>
      </c>
      <c r="EU6" t="e">
        <f>IF(#REF!,"AAAAAB6tt5Y=",0)</f>
        <v>#REF!</v>
      </c>
      <c r="EV6" t="e">
        <f>AND(#REF!,"AAAAAB6tt5c=")</f>
        <v>#REF!</v>
      </c>
      <c r="EW6" t="e">
        <f>AND(#REF!,"AAAAAB6tt5g=")</f>
        <v>#REF!</v>
      </c>
      <c r="EX6" t="e">
        <f>AND(#REF!,"AAAAAB6tt5k=")</f>
        <v>#REF!</v>
      </c>
      <c r="EY6" t="e">
        <f>AND(#REF!,"AAAAAB6tt5o=")</f>
        <v>#REF!</v>
      </c>
      <c r="EZ6" t="e">
        <f>AND(#REF!,"AAAAAB6tt5s=")</f>
        <v>#REF!</v>
      </c>
      <c r="FA6" t="e">
        <f>AND(#REF!,"AAAAAB6tt5w=")</f>
        <v>#REF!</v>
      </c>
      <c r="FB6" t="e">
        <f>AND(#REF!,"AAAAAB6tt50=")</f>
        <v>#REF!</v>
      </c>
      <c r="FC6" t="e">
        <f>AND(#REF!,"AAAAAB6tt54=")</f>
        <v>#REF!</v>
      </c>
      <c r="FD6" t="e">
        <f>AND(#REF!,"AAAAAB6tt58=")</f>
        <v>#REF!</v>
      </c>
      <c r="FE6" t="e">
        <f>IF(#REF!,"AAAAAB6tt6A=",0)</f>
        <v>#REF!</v>
      </c>
      <c r="FF6" t="e">
        <f>AND(#REF!,"AAAAAB6tt6E=")</f>
        <v>#REF!</v>
      </c>
      <c r="FG6" t="e">
        <f>AND(#REF!,"AAAAAB6tt6I=")</f>
        <v>#REF!</v>
      </c>
      <c r="FH6" t="e">
        <f>AND(#REF!,"AAAAAB6tt6M=")</f>
        <v>#REF!</v>
      </c>
      <c r="FI6" t="e">
        <f>AND(#REF!,"AAAAAB6tt6Q=")</f>
        <v>#REF!</v>
      </c>
      <c r="FJ6" t="e">
        <f>AND(#REF!,"AAAAAB6tt6U=")</f>
        <v>#REF!</v>
      </c>
      <c r="FK6" t="e">
        <f>AND(#REF!,"AAAAAB6tt6Y=")</f>
        <v>#REF!</v>
      </c>
      <c r="FL6" t="e">
        <f>AND(#REF!,"AAAAAB6tt6c=")</f>
        <v>#REF!</v>
      </c>
      <c r="FM6" t="e">
        <f>AND(#REF!,"AAAAAB6tt6g=")</f>
        <v>#REF!</v>
      </c>
      <c r="FN6" t="e">
        <f>AND(#REF!,"AAAAAB6tt6k=")</f>
        <v>#REF!</v>
      </c>
      <c r="FO6" t="e">
        <f>IF(#REF!,"AAAAAB6tt6o=",0)</f>
        <v>#REF!</v>
      </c>
      <c r="FP6" t="e">
        <f>AND(#REF!,"AAAAAB6tt6s=")</f>
        <v>#REF!</v>
      </c>
      <c r="FQ6" t="e">
        <f>AND(#REF!,"AAAAAB6tt6w=")</f>
        <v>#REF!</v>
      </c>
      <c r="FR6" t="e">
        <f>AND(#REF!,"AAAAAB6tt60=")</f>
        <v>#REF!</v>
      </c>
      <c r="FS6" t="e">
        <f>AND(#REF!,"AAAAAB6tt64=")</f>
        <v>#REF!</v>
      </c>
      <c r="FT6" t="e">
        <f>AND(#REF!,"AAAAAB6tt68=")</f>
        <v>#REF!</v>
      </c>
      <c r="FU6" t="e">
        <f>AND(#REF!,"AAAAAB6tt7A=")</f>
        <v>#REF!</v>
      </c>
      <c r="FV6" t="e">
        <f>AND(#REF!,"AAAAAB6tt7E=")</f>
        <v>#REF!</v>
      </c>
      <c r="FW6" t="e">
        <f>AND(#REF!,"AAAAAB6tt7I=")</f>
        <v>#REF!</v>
      </c>
      <c r="FX6" t="e">
        <f>AND(#REF!,"AAAAAB6tt7M=")</f>
        <v>#REF!</v>
      </c>
      <c r="FY6" t="e">
        <f>IF(#REF!,"AAAAAB6tt7Q=",0)</f>
        <v>#REF!</v>
      </c>
      <c r="FZ6" t="e">
        <f>AND(#REF!,"AAAAAB6tt7U=")</f>
        <v>#REF!</v>
      </c>
      <c r="GA6" t="e">
        <f>AND(#REF!,"AAAAAB6tt7Y=")</f>
        <v>#REF!</v>
      </c>
      <c r="GB6" t="e">
        <f>AND(#REF!,"AAAAAB6tt7c=")</f>
        <v>#REF!</v>
      </c>
      <c r="GC6" t="e">
        <f>AND(#REF!,"AAAAAB6tt7g=")</f>
        <v>#REF!</v>
      </c>
      <c r="GD6" t="e">
        <f>AND(#REF!,"AAAAAB6tt7k=")</f>
        <v>#REF!</v>
      </c>
      <c r="GE6" t="e">
        <f>AND(#REF!,"AAAAAB6tt7o=")</f>
        <v>#REF!</v>
      </c>
      <c r="GF6" t="e">
        <f>AND(#REF!,"AAAAAB6tt7s=")</f>
        <v>#REF!</v>
      </c>
      <c r="GG6" t="e">
        <f>AND(#REF!,"AAAAAB6tt7w=")</f>
        <v>#REF!</v>
      </c>
      <c r="GH6" t="e">
        <f>AND(#REF!,"AAAAAB6tt70=")</f>
        <v>#REF!</v>
      </c>
      <c r="GI6" t="e">
        <f>IF(#REF!,"AAAAAB6tt74=",0)</f>
        <v>#REF!</v>
      </c>
      <c r="GJ6" t="e">
        <f>AND(#REF!,"AAAAAB6tt78=")</f>
        <v>#REF!</v>
      </c>
      <c r="GK6" t="e">
        <f>AND(#REF!,"AAAAAB6tt8A=")</f>
        <v>#REF!</v>
      </c>
      <c r="GL6" t="e">
        <f>AND(#REF!,"AAAAAB6tt8E=")</f>
        <v>#REF!</v>
      </c>
      <c r="GM6" t="e">
        <f>AND(#REF!,"AAAAAB6tt8I=")</f>
        <v>#REF!</v>
      </c>
      <c r="GN6" t="e">
        <f>AND(#REF!,"AAAAAB6tt8M=")</f>
        <v>#REF!</v>
      </c>
      <c r="GO6" t="e">
        <f>AND(#REF!,"AAAAAB6tt8Q=")</f>
        <v>#REF!</v>
      </c>
      <c r="GP6" t="e">
        <f>AND(#REF!,"AAAAAB6tt8U=")</f>
        <v>#REF!</v>
      </c>
      <c r="GQ6" t="e">
        <f>AND(#REF!,"AAAAAB6tt8Y=")</f>
        <v>#REF!</v>
      </c>
      <c r="GR6" t="e">
        <f>AND(#REF!,"AAAAAB6tt8c=")</f>
        <v>#REF!</v>
      </c>
      <c r="GS6" t="e">
        <f>IF(#REF!,"AAAAAB6tt8g=",0)</f>
        <v>#REF!</v>
      </c>
      <c r="GT6" t="e">
        <f>AND(#REF!,"AAAAAB6tt8k=")</f>
        <v>#REF!</v>
      </c>
      <c r="GU6" t="e">
        <f>AND(#REF!,"AAAAAB6tt8o=")</f>
        <v>#REF!</v>
      </c>
      <c r="GV6" t="e">
        <f>AND(#REF!,"AAAAAB6tt8s=")</f>
        <v>#REF!</v>
      </c>
      <c r="GW6" t="e">
        <f>AND(#REF!,"AAAAAB6tt8w=")</f>
        <v>#REF!</v>
      </c>
      <c r="GX6" t="e">
        <f>AND(#REF!,"AAAAAB6tt80=")</f>
        <v>#REF!</v>
      </c>
      <c r="GY6" t="e">
        <f>AND(#REF!,"AAAAAB6tt84=")</f>
        <v>#REF!</v>
      </c>
      <c r="GZ6" t="e">
        <f>AND(#REF!,"AAAAAB6tt88=")</f>
        <v>#REF!</v>
      </c>
      <c r="HA6" t="e">
        <f>AND(#REF!,"AAAAAB6tt9A=")</f>
        <v>#REF!</v>
      </c>
      <c r="HB6" t="e">
        <f>AND(#REF!,"AAAAAB6tt9E=")</f>
        <v>#REF!</v>
      </c>
      <c r="HC6" t="e">
        <f>IF(#REF!,"AAAAAB6tt9I=",0)</f>
        <v>#REF!</v>
      </c>
      <c r="HD6" t="e">
        <f>AND(#REF!,"AAAAAB6tt9M=")</f>
        <v>#REF!</v>
      </c>
      <c r="HE6" t="e">
        <f>AND(#REF!,"AAAAAB6tt9Q=")</f>
        <v>#REF!</v>
      </c>
      <c r="HF6" t="e">
        <f>AND(#REF!,"AAAAAB6tt9U=")</f>
        <v>#REF!</v>
      </c>
      <c r="HG6" t="e">
        <f>AND(#REF!,"AAAAAB6tt9Y=")</f>
        <v>#REF!</v>
      </c>
      <c r="HH6" t="e">
        <f>AND(#REF!,"AAAAAB6tt9c=")</f>
        <v>#REF!</v>
      </c>
      <c r="HI6" t="e">
        <f>AND(#REF!,"AAAAAB6tt9g=")</f>
        <v>#REF!</v>
      </c>
      <c r="HJ6" t="e">
        <f>AND(#REF!,"AAAAAB6tt9k=")</f>
        <v>#REF!</v>
      </c>
      <c r="HK6" t="e">
        <f>AND(#REF!,"AAAAAB6tt9o=")</f>
        <v>#REF!</v>
      </c>
      <c r="HL6" t="e">
        <f>AND(#REF!,"AAAAAB6tt9s=")</f>
        <v>#REF!</v>
      </c>
      <c r="HM6" t="e">
        <f>IF(#REF!,"AAAAAB6tt9w=",0)</f>
        <v>#REF!</v>
      </c>
      <c r="HN6" t="e">
        <f>AND(#REF!,"AAAAAB6tt90=")</f>
        <v>#REF!</v>
      </c>
      <c r="HO6" t="e">
        <f>AND(#REF!,"AAAAAB6tt94=")</f>
        <v>#REF!</v>
      </c>
      <c r="HP6" t="e">
        <f>AND(#REF!,"AAAAAB6tt98=")</f>
        <v>#REF!</v>
      </c>
      <c r="HQ6" t="e">
        <f>AND(#REF!,"AAAAAB6tt+A=")</f>
        <v>#REF!</v>
      </c>
      <c r="HR6" t="e">
        <f>AND(#REF!,"AAAAAB6tt+E=")</f>
        <v>#REF!</v>
      </c>
      <c r="HS6" t="e">
        <f>AND(#REF!,"AAAAAB6tt+I=")</f>
        <v>#REF!</v>
      </c>
      <c r="HT6" t="e">
        <f>AND(#REF!,"AAAAAB6tt+M=")</f>
        <v>#REF!</v>
      </c>
      <c r="HU6" t="e">
        <f>AND(#REF!,"AAAAAB6tt+Q=")</f>
        <v>#REF!</v>
      </c>
      <c r="HV6" t="e">
        <f>AND(#REF!,"AAAAAB6tt+U=")</f>
        <v>#REF!</v>
      </c>
      <c r="HW6" t="e">
        <f>IF(#REF!,"AAAAAB6tt+Y=",0)</f>
        <v>#REF!</v>
      </c>
      <c r="HX6" t="e">
        <f>AND(#REF!,"AAAAAB6tt+c=")</f>
        <v>#REF!</v>
      </c>
      <c r="HY6" t="e">
        <f>AND(#REF!,"AAAAAB6tt+g=")</f>
        <v>#REF!</v>
      </c>
      <c r="HZ6" t="e">
        <f>AND(#REF!,"AAAAAB6tt+k=")</f>
        <v>#REF!</v>
      </c>
      <c r="IA6" t="e">
        <f>AND(#REF!,"AAAAAB6tt+o=")</f>
        <v>#REF!</v>
      </c>
      <c r="IB6" t="e">
        <f>AND(#REF!,"AAAAAB6tt+s=")</f>
        <v>#REF!</v>
      </c>
      <c r="IC6" t="e">
        <f>AND(#REF!,"AAAAAB6tt+w=")</f>
        <v>#REF!</v>
      </c>
      <c r="ID6" t="e">
        <f>AND(#REF!,"AAAAAB6tt+0=")</f>
        <v>#REF!</v>
      </c>
      <c r="IE6" t="e">
        <f>AND(#REF!,"AAAAAB6tt+4=")</f>
        <v>#REF!</v>
      </c>
      <c r="IF6" t="e">
        <f>AND(#REF!,"AAAAAB6tt+8=")</f>
        <v>#REF!</v>
      </c>
      <c r="IG6" t="e">
        <f>IF(#REF!,"AAAAAB6tt/A=",0)</f>
        <v>#REF!</v>
      </c>
      <c r="IH6" t="e">
        <f>AND(#REF!,"AAAAAB6tt/E=")</f>
        <v>#REF!</v>
      </c>
      <c r="II6" t="e">
        <f>AND(#REF!,"AAAAAB6tt/I=")</f>
        <v>#REF!</v>
      </c>
      <c r="IJ6" t="e">
        <f>AND(#REF!,"AAAAAB6tt/M=")</f>
        <v>#REF!</v>
      </c>
      <c r="IK6" t="e">
        <f>AND(#REF!,"AAAAAB6tt/Q=")</f>
        <v>#REF!</v>
      </c>
      <c r="IL6" t="e">
        <f>AND(#REF!,"AAAAAB6tt/U=")</f>
        <v>#REF!</v>
      </c>
      <c r="IM6" t="e">
        <f>AND(#REF!,"AAAAAB6tt/Y=")</f>
        <v>#REF!</v>
      </c>
      <c r="IN6" t="e">
        <f>AND(#REF!,"AAAAAB6tt/c=")</f>
        <v>#REF!</v>
      </c>
      <c r="IO6" t="e">
        <f>AND(#REF!,"AAAAAB6tt/g=")</f>
        <v>#REF!</v>
      </c>
      <c r="IP6" t="e">
        <f>AND(#REF!,"AAAAAB6tt/k=")</f>
        <v>#REF!</v>
      </c>
      <c r="IQ6" t="e">
        <f>IF(#REF!,"AAAAAB6tt/o=",0)</f>
        <v>#REF!</v>
      </c>
      <c r="IR6" t="e">
        <f>AND(#REF!,"AAAAAB6tt/s=")</f>
        <v>#REF!</v>
      </c>
      <c r="IS6" t="e">
        <f>AND(#REF!,"AAAAAB6tt/w=")</f>
        <v>#REF!</v>
      </c>
      <c r="IT6" t="e">
        <f>AND(#REF!,"AAAAAB6tt/0=")</f>
        <v>#REF!</v>
      </c>
      <c r="IU6" t="e">
        <f>AND(#REF!,"AAAAAB6tt/4=")</f>
        <v>#REF!</v>
      </c>
      <c r="IV6" t="e">
        <f>AND(#REF!,"AAAAAB6tt/8=")</f>
        <v>#REF!</v>
      </c>
    </row>
    <row r="7" spans="1:256" ht="12.75">
      <c r="A7" t="e">
        <f>AND(#REF!,"AAAAAH9/PgA=")</f>
        <v>#REF!</v>
      </c>
      <c r="B7" t="e">
        <f>AND(#REF!,"AAAAAH9/PgE=")</f>
        <v>#REF!</v>
      </c>
      <c r="C7" t="e">
        <f>AND(#REF!,"AAAAAH9/PgI=")</f>
        <v>#REF!</v>
      </c>
      <c r="D7" t="e">
        <f>AND(#REF!,"AAAAAH9/PgM=")</f>
        <v>#REF!</v>
      </c>
      <c r="E7" t="e">
        <f>IF(#REF!,"AAAAAH9/PgQ=",0)</f>
        <v>#REF!</v>
      </c>
      <c r="F7" t="e">
        <f>AND(#REF!,"AAAAAH9/PgU=")</f>
        <v>#REF!</v>
      </c>
      <c r="G7" t="e">
        <f>AND(#REF!,"AAAAAH9/PgY=")</f>
        <v>#REF!</v>
      </c>
      <c r="H7" t="e">
        <f>AND(#REF!,"AAAAAH9/Pgc=")</f>
        <v>#REF!</v>
      </c>
      <c r="I7" t="e">
        <f>AND(#REF!,"AAAAAH9/Pgg=")</f>
        <v>#REF!</v>
      </c>
      <c r="J7" t="e">
        <f>AND(#REF!,"AAAAAH9/Pgk=")</f>
        <v>#REF!</v>
      </c>
      <c r="K7" t="e">
        <f>AND(#REF!,"AAAAAH9/Pgo=")</f>
        <v>#REF!</v>
      </c>
      <c r="L7" t="e">
        <f>AND(#REF!,"AAAAAH9/Pgs=")</f>
        <v>#REF!</v>
      </c>
      <c r="M7" t="e">
        <f>AND(#REF!,"AAAAAH9/Pgw=")</f>
        <v>#REF!</v>
      </c>
      <c r="N7" t="e">
        <f>AND(#REF!,"AAAAAH9/Pg0=")</f>
        <v>#REF!</v>
      </c>
      <c r="O7" t="e">
        <f>IF(#REF!,"AAAAAH9/Pg4=",0)</f>
        <v>#REF!</v>
      </c>
      <c r="P7" t="e">
        <f>AND(#REF!,"AAAAAH9/Pg8=")</f>
        <v>#REF!</v>
      </c>
      <c r="Q7" t="e">
        <f>AND(#REF!,"AAAAAH9/PhA=")</f>
        <v>#REF!</v>
      </c>
      <c r="R7" t="e">
        <f>AND(#REF!,"AAAAAH9/PhE=")</f>
        <v>#REF!</v>
      </c>
      <c r="S7" t="e">
        <f>AND(#REF!,"AAAAAH9/PhI=")</f>
        <v>#REF!</v>
      </c>
      <c r="T7" t="e">
        <f>AND(#REF!,"AAAAAH9/PhM=")</f>
        <v>#REF!</v>
      </c>
      <c r="U7" t="e">
        <f>AND(#REF!,"AAAAAH9/PhQ=")</f>
        <v>#REF!</v>
      </c>
      <c r="V7" t="e">
        <f>AND(#REF!,"AAAAAH9/PhU=")</f>
        <v>#REF!</v>
      </c>
      <c r="W7" t="e">
        <f>AND(#REF!,"AAAAAH9/PhY=")</f>
        <v>#REF!</v>
      </c>
      <c r="X7" t="e">
        <f>AND(#REF!,"AAAAAH9/Phc=")</f>
        <v>#REF!</v>
      </c>
      <c r="Y7" t="e">
        <f>IF(#REF!,"AAAAAH9/Phg=",0)</f>
        <v>#REF!</v>
      </c>
      <c r="Z7" t="e">
        <f>AND(#REF!,"AAAAAH9/Phk=")</f>
        <v>#REF!</v>
      </c>
      <c r="AA7" t="e">
        <f>AND(#REF!,"AAAAAH9/Pho=")</f>
        <v>#REF!</v>
      </c>
      <c r="AB7" t="e">
        <f>AND(#REF!,"AAAAAH9/Phs=")</f>
        <v>#REF!</v>
      </c>
      <c r="AC7" t="e">
        <f>AND(#REF!,"AAAAAH9/Phw=")</f>
        <v>#REF!</v>
      </c>
      <c r="AD7" t="e">
        <f>AND(#REF!,"AAAAAH9/Ph0=")</f>
        <v>#REF!</v>
      </c>
      <c r="AE7" t="e">
        <f>AND(#REF!,"AAAAAH9/Ph4=")</f>
        <v>#REF!</v>
      </c>
      <c r="AF7" t="e">
        <f>AND(#REF!,"AAAAAH9/Ph8=")</f>
        <v>#REF!</v>
      </c>
      <c r="AG7" t="e">
        <f>AND(#REF!,"AAAAAH9/PiA=")</f>
        <v>#REF!</v>
      </c>
      <c r="AH7" t="e">
        <f>AND(#REF!,"AAAAAH9/PiE=")</f>
        <v>#REF!</v>
      </c>
      <c r="AI7" t="e">
        <f>IF(#REF!,"AAAAAH9/PiI=",0)</f>
        <v>#REF!</v>
      </c>
      <c r="AJ7" t="e">
        <f>AND(#REF!,"AAAAAH9/PiM=")</f>
        <v>#REF!</v>
      </c>
      <c r="AK7" t="e">
        <f>AND(#REF!,"AAAAAH9/PiQ=")</f>
        <v>#REF!</v>
      </c>
      <c r="AL7" t="e">
        <f>AND(#REF!,"AAAAAH9/PiU=")</f>
        <v>#REF!</v>
      </c>
      <c r="AM7" t="e">
        <f>AND(#REF!,"AAAAAH9/PiY=")</f>
        <v>#REF!</v>
      </c>
      <c r="AN7" t="e">
        <f>AND(#REF!,"AAAAAH9/Pic=")</f>
        <v>#REF!</v>
      </c>
      <c r="AO7" t="e">
        <f>AND(#REF!,"AAAAAH9/Pig=")</f>
        <v>#REF!</v>
      </c>
      <c r="AP7" t="e">
        <f>AND(#REF!,"AAAAAH9/Pik=")</f>
        <v>#REF!</v>
      </c>
      <c r="AQ7" t="e">
        <f>AND(#REF!,"AAAAAH9/Pio=")</f>
        <v>#REF!</v>
      </c>
      <c r="AR7" t="e">
        <f>AND(#REF!,"AAAAAH9/Pis=")</f>
        <v>#REF!</v>
      </c>
      <c r="AS7" t="e">
        <f>IF(#REF!,"AAAAAH9/Piw=",0)</f>
        <v>#REF!</v>
      </c>
      <c r="AT7" t="e">
        <f>AND(#REF!,"AAAAAH9/Pi0=")</f>
        <v>#REF!</v>
      </c>
      <c r="AU7" t="e">
        <f>AND(#REF!,"AAAAAH9/Pi4=")</f>
        <v>#REF!</v>
      </c>
      <c r="AV7" t="e">
        <f>AND(#REF!,"AAAAAH9/Pi8=")</f>
        <v>#REF!</v>
      </c>
      <c r="AW7" t="e">
        <f>AND(#REF!,"AAAAAH9/PjA=")</f>
        <v>#REF!</v>
      </c>
      <c r="AX7" t="e">
        <f>AND(#REF!,"AAAAAH9/PjE=")</f>
        <v>#REF!</v>
      </c>
      <c r="AY7" t="e">
        <f>AND(#REF!,"AAAAAH9/PjI=")</f>
        <v>#REF!</v>
      </c>
      <c r="AZ7" t="e">
        <f>AND(#REF!,"AAAAAH9/PjM=")</f>
        <v>#REF!</v>
      </c>
      <c r="BA7" t="e">
        <f>AND(#REF!,"AAAAAH9/PjQ=")</f>
        <v>#REF!</v>
      </c>
      <c r="BB7" t="e">
        <f>AND(#REF!,"AAAAAH9/PjU=")</f>
        <v>#REF!</v>
      </c>
      <c r="BC7" t="e">
        <f>IF(#REF!,"AAAAAH9/PjY=",0)</f>
        <v>#REF!</v>
      </c>
      <c r="BD7" t="e">
        <f>AND(#REF!,"AAAAAH9/Pjc=")</f>
        <v>#REF!</v>
      </c>
      <c r="BE7" t="e">
        <f>AND(#REF!,"AAAAAH9/Pjg=")</f>
        <v>#REF!</v>
      </c>
      <c r="BF7" t="e">
        <f>AND(#REF!,"AAAAAH9/Pjk=")</f>
        <v>#REF!</v>
      </c>
      <c r="BG7" t="e">
        <f>AND(#REF!,"AAAAAH9/Pjo=")</f>
        <v>#REF!</v>
      </c>
      <c r="BH7" t="e">
        <f>AND(#REF!,"AAAAAH9/Pjs=")</f>
        <v>#REF!</v>
      </c>
      <c r="BI7" t="e">
        <f>AND(#REF!,"AAAAAH9/Pjw=")</f>
        <v>#REF!</v>
      </c>
      <c r="BJ7" t="e">
        <f>AND(#REF!,"AAAAAH9/Pj0=")</f>
        <v>#REF!</v>
      </c>
      <c r="BK7" t="e">
        <f>AND(#REF!,"AAAAAH9/Pj4=")</f>
        <v>#REF!</v>
      </c>
      <c r="BL7" t="e">
        <f>AND(#REF!,"AAAAAH9/Pj8=")</f>
        <v>#REF!</v>
      </c>
      <c r="BM7" t="e">
        <f>IF(#REF!,"AAAAAH9/PkA=",0)</f>
        <v>#REF!</v>
      </c>
      <c r="BN7" t="e">
        <f>AND(#REF!,"AAAAAH9/PkE=")</f>
        <v>#REF!</v>
      </c>
      <c r="BO7" t="e">
        <f>AND(#REF!,"AAAAAH9/PkI=")</f>
        <v>#REF!</v>
      </c>
      <c r="BP7" t="e">
        <f>AND(#REF!,"AAAAAH9/PkM=")</f>
        <v>#REF!</v>
      </c>
      <c r="BQ7" t="e">
        <f>AND(#REF!,"AAAAAH9/PkQ=")</f>
        <v>#REF!</v>
      </c>
      <c r="BR7" t="e">
        <f>AND(#REF!,"AAAAAH9/PkU=")</f>
        <v>#REF!</v>
      </c>
      <c r="BS7" t="e">
        <f>AND(#REF!,"AAAAAH9/PkY=")</f>
        <v>#REF!</v>
      </c>
      <c r="BT7" t="e">
        <f>AND(#REF!,"AAAAAH9/Pkc=")</f>
        <v>#REF!</v>
      </c>
      <c r="BU7" t="e">
        <f>AND(#REF!,"AAAAAH9/Pkg=")</f>
        <v>#REF!</v>
      </c>
      <c r="BV7" t="e">
        <f>AND(#REF!,"AAAAAH9/Pkk=")</f>
        <v>#REF!</v>
      </c>
      <c r="BW7" t="e">
        <f>IF(#REF!,"AAAAAH9/Pko=",0)</f>
        <v>#REF!</v>
      </c>
      <c r="BX7" t="e">
        <f>AND(#REF!,"AAAAAH9/Pks=")</f>
        <v>#REF!</v>
      </c>
      <c r="BY7" t="e">
        <f>AND(#REF!,"AAAAAH9/Pkw=")</f>
        <v>#REF!</v>
      </c>
      <c r="BZ7" t="e">
        <f>AND(#REF!,"AAAAAH9/Pk0=")</f>
        <v>#REF!</v>
      </c>
      <c r="CA7" t="e">
        <f>AND(#REF!,"AAAAAH9/Pk4=")</f>
        <v>#REF!</v>
      </c>
      <c r="CB7" t="e">
        <f>AND(#REF!,"AAAAAH9/Pk8=")</f>
        <v>#REF!</v>
      </c>
      <c r="CC7" t="e">
        <f>AND(#REF!,"AAAAAH9/PlA=")</f>
        <v>#REF!</v>
      </c>
      <c r="CD7" t="e">
        <f>AND(#REF!,"AAAAAH9/PlE=")</f>
        <v>#REF!</v>
      </c>
      <c r="CE7" t="e">
        <f>AND(#REF!,"AAAAAH9/PlI=")</f>
        <v>#REF!</v>
      </c>
      <c r="CF7" t="e">
        <f>AND(#REF!,"AAAAAH9/PlM=")</f>
        <v>#REF!</v>
      </c>
      <c r="CG7" t="e">
        <f>IF(#REF!,"AAAAAH9/PlQ=",0)</f>
        <v>#REF!</v>
      </c>
      <c r="CH7" t="e">
        <f>AND(#REF!,"AAAAAH9/PlU=")</f>
        <v>#REF!</v>
      </c>
      <c r="CI7" t="e">
        <f>AND(#REF!,"AAAAAH9/PlY=")</f>
        <v>#REF!</v>
      </c>
      <c r="CJ7" t="e">
        <f>AND(#REF!,"AAAAAH9/Plc=")</f>
        <v>#REF!</v>
      </c>
      <c r="CK7" t="e">
        <f>AND(#REF!,"AAAAAH9/Plg=")</f>
        <v>#REF!</v>
      </c>
      <c r="CL7" t="e">
        <f>AND(#REF!,"AAAAAH9/Plk=")</f>
        <v>#REF!</v>
      </c>
      <c r="CM7" t="e">
        <f>AND(#REF!,"AAAAAH9/Plo=")</f>
        <v>#REF!</v>
      </c>
      <c r="CN7" t="e">
        <f>AND(#REF!,"AAAAAH9/Pls=")</f>
        <v>#REF!</v>
      </c>
      <c r="CO7" t="e">
        <f>AND(#REF!,"AAAAAH9/Plw=")</f>
        <v>#REF!</v>
      </c>
      <c r="CP7" t="e">
        <f>AND(#REF!,"AAAAAH9/Pl0=")</f>
        <v>#REF!</v>
      </c>
      <c r="CQ7" t="e">
        <f>IF(#REF!,"AAAAAH9/Pl4=",0)</f>
        <v>#REF!</v>
      </c>
      <c r="CR7" t="e">
        <f>AND(#REF!,"AAAAAH9/Pl8=")</f>
        <v>#REF!</v>
      </c>
      <c r="CS7" t="e">
        <f>AND(#REF!,"AAAAAH9/PmA=")</f>
        <v>#REF!</v>
      </c>
      <c r="CT7" t="e">
        <f>AND(#REF!,"AAAAAH9/PmE=")</f>
        <v>#REF!</v>
      </c>
      <c r="CU7" t="e">
        <f>AND(#REF!,"AAAAAH9/PmI=")</f>
        <v>#REF!</v>
      </c>
      <c r="CV7" t="e">
        <f>AND(#REF!,"AAAAAH9/PmM=")</f>
        <v>#REF!</v>
      </c>
      <c r="CW7" t="e">
        <f>AND(#REF!,"AAAAAH9/PmQ=")</f>
        <v>#REF!</v>
      </c>
      <c r="CX7" t="e">
        <f>AND(#REF!,"AAAAAH9/PmU=")</f>
        <v>#REF!</v>
      </c>
      <c r="CY7" t="e">
        <f>AND(#REF!,"AAAAAH9/PmY=")</f>
        <v>#REF!</v>
      </c>
      <c r="CZ7" t="e">
        <f>AND(#REF!,"AAAAAH9/Pmc=")</f>
        <v>#REF!</v>
      </c>
      <c r="DA7" t="e">
        <f>IF(#REF!,"AAAAAH9/Pmg=",0)</f>
        <v>#REF!</v>
      </c>
      <c r="DB7" t="e">
        <f>AND(#REF!,"AAAAAH9/Pmk=")</f>
        <v>#REF!</v>
      </c>
      <c r="DC7" t="e">
        <f>AND(#REF!,"AAAAAH9/Pmo=")</f>
        <v>#REF!</v>
      </c>
      <c r="DD7" t="e">
        <f>AND(#REF!,"AAAAAH9/Pms=")</f>
        <v>#REF!</v>
      </c>
      <c r="DE7" t="e">
        <f>AND(#REF!,"AAAAAH9/Pmw=")</f>
        <v>#REF!</v>
      </c>
      <c r="DF7" t="e">
        <f>AND(#REF!,"AAAAAH9/Pm0=")</f>
        <v>#REF!</v>
      </c>
      <c r="DG7" t="e">
        <f>AND(#REF!,"AAAAAH9/Pm4=")</f>
        <v>#REF!</v>
      </c>
      <c r="DH7" t="e">
        <f>AND(#REF!,"AAAAAH9/Pm8=")</f>
        <v>#REF!</v>
      </c>
      <c r="DI7" t="e">
        <f>AND(#REF!,"AAAAAH9/PnA=")</f>
        <v>#REF!</v>
      </c>
      <c r="DJ7" t="e">
        <f>AND(#REF!,"AAAAAH9/PnE=")</f>
        <v>#REF!</v>
      </c>
      <c r="DK7" t="e">
        <f>IF(#REF!,"AAAAAH9/PnI=",0)</f>
        <v>#REF!</v>
      </c>
      <c r="DL7" t="e">
        <f>AND(#REF!,"AAAAAH9/PnM=")</f>
        <v>#REF!</v>
      </c>
      <c r="DM7" t="e">
        <f>AND(#REF!,"AAAAAH9/PnQ=")</f>
        <v>#REF!</v>
      </c>
      <c r="DN7" t="e">
        <f>AND(#REF!,"AAAAAH9/PnU=")</f>
        <v>#REF!</v>
      </c>
      <c r="DO7" t="e">
        <f>AND(#REF!,"AAAAAH9/PnY=")</f>
        <v>#REF!</v>
      </c>
      <c r="DP7" t="e">
        <f>AND(#REF!,"AAAAAH9/Pnc=")</f>
        <v>#REF!</v>
      </c>
      <c r="DQ7" t="e">
        <f>AND(#REF!,"AAAAAH9/Png=")</f>
        <v>#REF!</v>
      </c>
      <c r="DR7" t="e">
        <f>AND(#REF!,"AAAAAH9/Pnk=")</f>
        <v>#REF!</v>
      </c>
      <c r="DS7" t="e">
        <f>AND(#REF!,"AAAAAH9/Pno=")</f>
        <v>#REF!</v>
      </c>
      <c r="DT7" t="e">
        <f>AND(#REF!,"AAAAAH9/Pns=")</f>
        <v>#REF!</v>
      </c>
      <c r="DU7" t="e">
        <f>IF(#REF!,"AAAAAH9/Pnw=",0)</f>
        <v>#REF!</v>
      </c>
      <c r="DV7" t="e">
        <f>AND(#REF!,"AAAAAH9/Pn0=")</f>
        <v>#REF!</v>
      </c>
      <c r="DW7" t="e">
        <f>AND(#REF!,"AAAAAH9/Pn4=")</f>
        <v>#REF!</v>
      </c>
      <c r="DX7" t="e">
        <f>AND(#REF!,"AAAAAH9/Pn8=")</f>
        <v>#REF!</v>
      </c>
      <c r="DY7" t="e">
        <f>AND(#REF!,"AAAAAH9/PoA=")</f>
        <v>#REF!</v>
      </c>
      <c r="DZ7" t="e">
        <f>AND(#REF!,"AAAAAH9/PoE=")</f>
        <v>#REF!</v>
      </c>
      <c r="EA7" t="e">
        <f>AND(#REF!,"AAAAAH9/PoI=")</f>
        <v>#REF!</v>
      </c>
      <c r="EB7" t="e">
        <f>AND(#REF!,"AAAAAH9/PoM=")</f>
        <v>#REF!</v>
      </c>
      <c r="EC7" t="e">
        <f>AND(#REF!,"AAAAAH9/PoQ=")</f>
        <v>#REF!</v>
      </c>
      <c r="ED7" t="e">
        <f>AND(#REF!,"AAAAAH9/PoU=")</f>
        <v>#REF!</v>
      </c>
      <c r="EE7" t="e">
        <f>IF(#REF!,"AAAAAH9/PoY=",0)</f>
        <v>#REF!</v>
      </c>
      <c r="EF7" t="e">
        <f>AND(#REF!,"AAAAAH9/Poc=")</f>
        <v>#REF!</v>
      </c>
      <c r="EG7" t="e">
        <f>AND(#REF!,"AAAAAH9/Pog=")</f>
        <v>#REF!</v>
      </c>
      <c r="EH7" t="e">
        <f>AND(#REF!,"AAAAAH9/Pok=")</f>
        <v>#REF!</v>
      </c>
      <c r="EI7" t="e">
        <f>AND(#REF!,"AAAAAH9/Poo=")</f>
        <v>#REF!</v>
      </c>
      <c r="EJ7" t="e">
        <f>AND(#REF!,"AAAAAH9/Pos=")</f>
        <v>#REF!</v>
      </c>
      <c r="EK7" t="e">
        <f>AND(#REF!,"AAAAAH9/Pow=")</f>
        <v>#REF!</v>
      </c>
      <c r="EL7" t="e">
        <f>AND(#REF!,"AAAAAH9/Po0=")</f>
        <v>#REF!</v>
      </c>
      <c r="EM7" t="e">
        <f>AND(#REF!,"AAAAAH9/Po4=")</f>
        <v>#REF!</v>
      </c>
      <c r="EN7" t="e">
        <f>AND(#REF!,"AAAAAH9/Po8=")</f>
        <v>#REF!</v>
      </c>
      <c r="EO7" t="e">
        <f>IF(#REF!,"AAAAAH9/PpA=",0)</f>
        <v>#REF!</v>
      </c>
      <c r="EP7" t="e">
        <f>AND(#REF!,"AAAAAH9/PpE=")</f>
        <v>#REF!</v>
      </c>
      <c r="EQ7" t="e">
        <f>AND(#REF!,"AAAAAH9/PpI=")</f>
        <v>#REF!</v>
      </c>
      <c r="ER7" t="e">
        <f>AND(#REF!,"AAAAAH9/PpM=")</f>
        <v>#REF!</v>
      </c>
      <c r="ES7" t="e">
        <f>AND(#REF!,"AAAAAH9/PpQ=")</f>
        <v>#REF!</v>
      </c>
      <c r="ET7" t="e">
        <f>AND(#REF!,"AAAAAH9/PpU=")</f>
        <v>#REF!</v>
      </c>
      <c r="EU7" t="e">
        <f>AND(#REF!,"AAAAAH9/PpY=")</f>
        <v>#REF!</v>
      </c>
      <c r="EV7" t="e">
        <f>AND(#REF!,"AAAAAH9/Ppc=")</f>
        <v>#REF!</v>
      </c>
      <c r="EW7" t="e">
        <f>AND(#REF!,"AAAAAH9/Ppg=")</f>
        <v>#REF!</v>
      </c>
      <c r="EX7" t="e">
        <f>AND(#REF!,"AAAAAH9/Ppk=")</f>
        <v>#REF!</v>
      </c>
      <c r="EY7" t="e">
        <f>IF(#REF!,"AAAAAH9/Ppo=",0)</f>
        <v>#REF!</v>
      </c>
      <c r="EZ7" t="e">
        <f>AND(#REF!,"AAAAAH9/Pps=")</f>
        <v>#REF!</v>
      </c>
      <c r="FA7" t="e">
        <f>AND(#REF!,"AAAAAH9/Ppw=")</f>
        <v>#REF!</v>
      </c>
      <c r="FB7" t="e">
        <f>AND(#REF!,"AAAAAH9/Pp0=")</f>
        <v>#REF!</v>
      </c>
      <c r="FC7" t="e">
        <f>AND(#REF!,"AAAAAH9/Pp4=")</f>
        <v>#REF!</v>
      </c>
      <c r="FD7" t="e">
        <f>AND(#REF!,"AAAAAH9/Pp8=")</f>
        <v>#REF!</v>
      </c>
      <c r="FE7" t="e">
        <f>AND(#REF!,"AAAAAH9/PqA=")</f>
        <v>#REF!</v>
      </c>
      <c r="FF7" t="e">
        <f>AND(#REF!,"AAAAAH9/PqE=")</f>
        <v>#REF!</v>
      </c>
      <c r="FG7" t="e">
        <f>AND(#REF!,"AAAAAH9/PqI=")</f>
        <v>#REF!</v>
      </c>
      <c r="FH7" t="e">
        <f>AND(#REF!,"AAAAAH9/PqM=")</f>
        <v>#REF!</v>
      </c>
      <c r="FI7" t="e">
        <f>IF(#REF!,"AAAAAH9/PqQ=",0)</f>
        <v>#REF!</v>
      </c>
      <c r="FJ7" t="e">
        <f>AND(#REF!,"AAAAAH9/PqU=")</f>
        <v>#REF!</v>
      </c>
      <c r="FK7" t="e">
        <f>AND(#REF!,"AAAAAH9/PqY=")</f>
        <v>#REF!</v>
      </c>
      <c r="FL7" t="e">
        <f>AND(#REF!,"AAAAAH9/Pqc=")</f>
        <v>#REF!</v>
      </c>
      <c r="FM7" t="e">
        <f>AND(#REF!,"AAAAAH9/Pqg=")</f>
        <v>#REF!</v>
      </c>
      <c r="FN7" t="e">
        <f>AND(#REF!,"AAAAAH9/Pqk=")</f>
        <v>#REF!</v>
      </c>
      <c r="FO7" t="e">
        <f>AND(#REF!,"AAAAAH9/Pqo=")</f>
        <v>#REF!</v>
      </c>
      <c r="FP7" t="e">
        <f>AND(#REF!,"AAAAAH9/Pqs=")</f>
        <v>#REF!</v>
      </c>
      <c r="FQ7" t="e">
        <f>AND(#REF!,"AAAAAH9/Pqw=")</f>
        <v>#REF!</v>
      </c>
      <c r="FR7" t="e">
        <f>AND(#REF!,"AAAAAH9/Pq0=")</f>
        <v>#REF!</v>
      </c>
      <c r="FS7" t="e">
        <f>IF(#REF!,"AAAAAH9/Pq4=",0)</f>
        <v>#REF!</v>
      </c>
      <c r="FT7" t="e">
        <f>AND(#REF!,"AAAAAH9/Pq8=")</f>
        <v>#REF!</v>
      </c>
      <c r="FU7" t="e">
        <f>AND(#REF!,"AAAAAH9/PrA=")</f>
        <v>#REF!</v>
      </c>
      <c r="FV7" t="e">
        <f>AND(#REF!,"AAAAAH9/PrE=")</f>
        <v>#REF!</v>
      </c>
      <c r="FW7" t="e">
        <f>AND(#REF!,"AAAAAH9/PrI=")</f>
        <v>#REF!</v>
      </c>
      <c r="FX7" t="e">
        <f>AND(#REF!,"AAAAAH9/PrM=")</f>
        <v>#REF!</v>
      </c>
      <c r="FY7" t="e">
        <f>AND(#REF!,"AAAAAH9/PrQ=")</f>
        <v>#REF!</v>
      </c>
      <c r="FZ7" t="e">
        <f>AND(#REF!,"AAAAAH9/PrU=")</f>
        <v>#REF!</v>
      </c>
      <c r="GA7" t="e">
        <f>AND(#REF!,"AAAAAH9/PrY=")</f>
        <v>#REF!</v>
      </c>
      <c r="GB7" t="e">
        <f>AND(#REF!,"AAAAAH9/Prc=")</f>
        <v>#REF!</v>
      </c>
      <c r="GC7" t="e">
        <f>IF(#REF!,"AAAAAH9/Prg=",0)</f>
        <v>#REF!</v>
      </c>
      <c r="GD7" t="e">
        <f>AND(#REF!,"AAAAAH9/Prk=")</f>
        <v>#REF!</v>
      </c>
      <c r="GE7" t="e">
        <f>AND(#REF!,"AAAAAH9/Pro=")</f>
        <v>#REF!</v>
      </c>
      <c r="GF7" t="e">
        <f>AND(#REF!,"AAAAAH9/Prs=")</f>
        <v>#REF!</v>
      </c>
      <c r="GG7" t="e">
        <f>AND(#REF!,"AAAAAH9/Prw=")</f>
        <v>#REF!</v>
      </c>
      <c r="GH7" t="e">
        <f>AND(#REF!,"AAAAAH9/Pr0=")</f>
        <v>#REF!</v>
      </c>
      <c r="GI7" t="e">
        <f>AND(#REF!,"AAAAAH9/Pr4=")</f>
        <v>#REF!</v>
      </c>
      <c r="GJ7" t="e">
        <f>AND(#REF!,"AAAAAH9/Pr8=")</f>
        <v>#REF!</v>
      </c>
      <c r="GK7" t="e">
        <f>AND(#REF!,"AAAAAH9/PsA=")</f>
        <v>#REF!</v>
      </c>
      <c r="GL7" t="e">
        <f>AND(#REF!,"AAAAAH9/PsE=")</f>
        <v>#REF!</v>
      </c>
      <c r="GM7" t="e">
        <f>IF(#REF!,"AAAAAH9/PsI=",0)</f>
        <v>#REF!</v>
      </c>
      <c r="GN7" t="e">
        <f>AND(#REF!,"AAAAAH9/PsM=")</f>
        <v>#REF!</v>
      </c>
      <c r="GO7" t="e">
        <f>AND(#REF!,"AAAAAH9/PsQ=")</f>
        <v>#REF!</v>
      </c>
      <c r="GP7" t="e">
        <f>AND(#REF!,"AAAAAH9/PsU=")</f>
        <v>#REF!</v>
      </c>
      <c r="GQ7" t="e">
        <f>AND(#REF!,"AAAAAH9/PsY=")</f>
        <v>#REF!</v>
      </c>
      <c r="GR7" t="e">
        <f>AND(#REF!,"AAAAAH9/Psc=")</f>
        <v>#REF!</v>
      </c>
      <c r="GS7" t="e">
        <f>AND(#REF!,"AAAAAH9/Psg=")</f>
        <v>#REF!</v>
      </c>
      <c r="GT7" t="e">
        <f>AND(#REF!,"AAAAAH9/Psk=")</f>
        <v>#REF!</v>
      </c>
      <c r="GU7" t="e">
        <f>AND(#REF!,"AAAAAH9/Pso=")</f>
        <v>#REF!</v>
      </c>
      <c r="GV7" t="e">
        <f>AND(#REF!,"AAAAAH9/Pss=")</f>
        <v>#REF!</v>
      </c>
      <c r="GW7" t="e">
        <f>IF(#REF!,"AAAAAH9/Psw=",0)</f>
        <v>#REF!</v>
      </c>
      <c r="GX7" t="e">
        <f>AND(#REF!,"AAAAAH9/Ps0=")</f>
        <v>#REF!</v>
      </c>
      <c r="GY7" t="e">
        <f>AND(#REF!,"AAAAAH9/Ps4=")</f>
        <v>#REF!</v>
      </c>
      <c r="GZ7" t="e">
        <f>AND(#REF!,"AAAAAH9/Ps8=")</f>
        <v>#REF!</v>
      </c>
      <c r="HA7" t="e">
        <f>IF(#REF!,"AAAAAH9/PtA=",0)</f>
        <v>#REF!</v>
      </c>
      <c r="HB7" t="e">
        <f>IF(#REF!,"AAAAAH9/PtE=",0)</f>
        <v>#REF!</v>
      </c>
      <c r="HC7" t="e">
        <f>IF(#REF!,"AAAAAH9/PtI=",0)</f>
        <v>#REF!</v>
      </c>
      <c r="HD7" t="e">
        <f>IF(#REF!,"AAAAAH9/PtM=",0)</f>
        <v>#REF!</v>
      </c>
      <c r="HE7" t="e">
        <f>IF(#REF!,"AAAAAH9/PtQ=",0)</f>
        <v>#REF!</v>
      </c>
      <c r="HF7" t="e">
        <f>IF(#REF!,"AAAAAH9/PtU=",0)</f>
        <v>#REF!</v>
      </c>
      <c r="HG7" t="e">
        <f>IF(#REF!,"AAAAAH9/PtY=",0)</f>
        <v>#REF!</v>
      </c>
      <c r="HH7" t="e">
        <f>IF(#REF!,"AAAAAH9/Ptc=",0)</f>
        <v>#REF!</v>
      </c>
      <c r="HI7" t="e">
        <f>IF(#REF!,"AAAAAH9/Ptg=",0)</f>
        <v>#REF!</v>
      </c>
      <c r="HJ7">
        <f>IF(Camino!1:1,"AAAAAH9/Ptk=",0)</f>
        <v>0</v>
      </c>
      <c r="HK7" t="e">
        <f>AND(Camino!A1,"AAAAAH9/Pto=")</f>
        <v>#VALUE!</v>
      </c>
      <c r="HL7" t="e">
        <f>AND(Camino!B1,"AAAAAH9/Pts=")</f>
        <v>#VALUE!</v>
      </c>
      <c r="HM7" t="e">
        <f>AND(Camino!C1,"AAAAAH9/Ptw=")</f>
        <v>#VALUE!</v>
      </c>
      <c r="HN7" t="e">
        <f>AND(Camino!D1,"AAAAAH9/Pt0=")</f>
        <v>#VALUE!</v>
      </c>
      <c r="HO7" t="e">
        <f>AND(Camino!#REF!,"AAAAAH9/Pt4=")</f>
        <v>#REF!</v>
      </c>
      <c r="HP7" t="e">
        <f>AND(Camino!#REF!,"AAAAAH9/Pt8=")</f>
        <v>#REF!</v>
      </c>
      <c r="HQ7" t="e">
        <f>AND(Camino!#REF!,"AAAAAH9/PuA=")</f>
        <v>#REF!</v>
      </c>
      <c r="HR7" t="e">
        <f>AND(Camino!#REF!,"AAAAAH9/PuE=")</f>
        <v>#REF!</v>
      </c>
      <c r="HS7" t="e">
        <f>AND(Camino!E1,"AAAAAH9/PuI=")</f>
        <v>#VALUE!</v>
      </c>
      <c r="HT7">
        <f>IF(Camino!2:2,"AAAAAH9/PuM=",0)</f>
        <v>0</v>
      </c>
      <c r="HU7" t="e">
        <f>AND(Camino!#REF!,"AAAAAH9/PuQ=")</f>
        <v>#REF!</v>
      </c>
      <c r="HV7" t="e">
        <f>AND(Camino!#REF!,"AAAAAH9/PuU=")</f>
        <v>#REF!</v>
      </c>
      <c r="HW7" t="e">
        <f>AND(Camino!C2,"AAAAAH9/PuY=")</f>
        <v>#VALUE!</v>
      </c>
      <c r="HX7" t="e">
        <f>AND(Camino!D2,"AAAAAH9/Puc=")</f>
        <v>#VALUE!</v>
      </c>
      <c r="HY7" t="e">
        <f>AND(Camino!#REF!,"AAAAAH9/Pug=")</f>
        <v>#REF!</v>
      </c>
      <c r="HZ7" t="e">
        <f>AND(Camino!#REF!,"AAAAAH9/Puk=")</f>
        <v>#REF!</v>
      </c>
      <c r="IA7" t="e">
        <f>AND(Camino!#REF!,"AAAAAH9/Puo=")</f>
        <v>#REF!</v>
      </c>
      <c r="IB7" t="e">
        <f>AND(Camino!#REF!,"AAAAAH9/Pus=")</f>
        <v>#REF!</v>
      </c>
      <c r="IC7" t="e">
        <f>AND(Camino!E2,"AAAAAH9/Puw=")</f>
        <v>#VALUE!</v>
      </c>
      <c r="ID7" t="e">
        <f>IF(Camino!#REF!,"AAAAAH9/Pu0=",0)</f>
        <v>#REF!</v>
      </c>
      <c r="IE7" t="e">
        <f>AND(Camino!#REF!,"AAAAAH9/Pu4=")</f>
        <v>#REF!</v>
      </c>
      <c r="IF7" t="e">
        <f>AND(Camino!#REF!,"AAAAAH9/Pu8=")</f>
        <v>#REF!</v>
      </c>
      <c r="IG7" t="e">
        <f>AND(Camino!#REF!,"AAAAAH9/PvA=")</f>
        <v>#REF!</v>
      </c>
      <c r="IH7" t="e">
        <f>AND(Camino!#REF!,"AAAAAH9/PvE=")</f>
        <v>#REF!</v>
      </c>
      <c r="II7" t="e">
        <f>AND(Camino!#REF!,"AAAAAH9/PvI=")</f>
        <v>#REF!</v>
      </c>
      <c r="IJ7" t="e">
        <f>AND(Camino!#REF!,"AAAAAH9/PvM=")</f>
        <v>#REF!</v>
      </c>
      <c r="IK7" t="e">
        <f>AND(Camino!#REF!,"AAAAAH9/PvQ=")</f>
        <v>#REF!</v>
      </c>
      <c r="IL7" t="e">
        <f>AND(Camino!#REF!,"AAAAAH9/PvU=")</f>
        <v>#REF!</v>
      </c>
      <c r="IM7" t="e">
        <f>AND(Camino!#REF!,"AAAAAH9/PvY=")</f>
        <v>#REF!</v>
      </c>
      <c r="IN7" t="e">
        <f>IF(Camino!#REF!,"AAAAAH9/Pvc=",0)</f>
        <v>#REF!</v>
      </c>
      <c r="IO7" t="e">
        <f>AND(Camino!#REF!,"AAAAAH9/Pvg=")</f>
        <v>#REF!</v>
      </c>
      <c r="IP7" t="e">
        <f>AND(Camino!#REF!,"AAAAAH9/Pvk=")</f>
        <v>#REF!</v>
      </c>
      <c r="IQ7" t="e">
        <f>AND(Camino!#REF!,"AAAAAH9/Pvo=")</f>
        <v>#REF!</v>
      </c>
      <c r="IR7" t="e">
        <f>AND(Camino!#REF!,"AAAAAH9/Pvs=")</f>
        <v>#REF!</v>
      </c>
      <c r="IS7" t="e">
        <f>AND(Camino!#REF!,"AAAAAH9/Pvw=")</f>
        <v>#REF!</v>
      </c>
      <c r="IT7" t="e">
        <f>AND(Camino!#REF!,"AAAAAH9/Pv0=")</f>
        <v>#REF!</v>
      </c>
      <c r="IU7" t="e">
        <f>AND(Camino!#REF!,"AAAAAH9/Pv4=")</f>
        <v>#REF!</v>
      </c>
      <c r="IV7" t="e">
        <f>AND(Camino!#REF!,"AAAAAH9/Pv8=")</f>
        <v>#REF!</v>
      </c>
    </row>
    <row r="8" spans="1:256" ht="12.75">
      <c r="A8" t="e">
        <f>AND(Camino!#REF!,"AAAAAHe77gA=")</f>
        <v>#REF!</v>
      </c>
      <c r="B8" t="e">
        <f>IF(Camino!#REF!,"AAAAAHe77gE=",0)</f>
        <v>#REF!</v>
      </c>
      <c r="C8" t="e">
        <f>AND(Camino!#REF!,"AAAAAHe77gI=")</f>
        <v>#REF!</v>
      </c>
      <c r="D8" t="e">
        <f>AND(Camino!#REF!,"AAAAAHe77gM=")</f>
        <v>#REF!</v>
      </c>
      <c r="E8" t="e">
        <f>AND(Camino!#REF!,"AAAAAHe77gQ=")</f>
        <v>#REF!</v>
      </c>
      <c r="F8" t="e">
        <f>AND(Camino!#REF!,"AAAAAHe77gU=")</f>
        <v>#REF!</v>
      </c>
      <c r="G8" t="e">
        <f>AND(Camino!#REF!,"AAAAAHe77gY=")</f>
        <v>#REF!</v>
      </c>
      <c r="H8" t="e">
        <f>AND(Camino!#REF!,"AAAAAHe77gc=")</f>
        <v>#REF!</v>
      </c>
      <c r="I8" t="e">
        <f>AND(Camino!#REF!,"AAAAAHe77gg=")</f>
        <v>#REF!</v>
      </c>
      <c r="J8" t="e">
        <f>AND(Camino!#REF!,"AAAAAHe77gk=")</f>
        <v>#REF!</v>
      </c>
      <c r="K8" t="e">
        <f>AND(Camino!#REF!,"AAAAAHe77go=")</f>
        <v>#REF!</v>
      </c>
      <c r="L8" t="e">
        <f>IF(Camino!#REF!,"AAAAAHe77gs=",0)</f>
        <v>#REF!</v>
      </c>
      <c r="M8" t="e">
        <f>AND(Camino!#REF!,"AAAAAHe77gw=")</f>
        <v>#REF!</v>
      </c>
      <c r="N8" t="e">
        <f>AND(Camino!#REF!,"AAAAAHe77g0=")</f>
        <v>#REF!</v>
      </c>
      <c r="O8" t="e">
        <f>AND(Camino!#REF!,"AAAAAHe77g4=")</f>
        <v>#REF!</v>
      </c>
      <c r="P8" t="e">
        <f>AND(Camino!#REF!,"AAAAAHe77g8=")</f>
        <v>#REF!</v>
      </c>
      <c r="Q8" t="e">
        <f>AND(Camino!#REF!,"AAAAAHe77hA=")</f>
        <v>#REF!</v>
      </c>
      <c r="R8" t="e">
        <f>AND(Camino!#REF!,"AAAAAHe77hE=")</f>
        <v>#REF!</v>
      </c>
      <c r="S8" t="e">
        <f>AND(Camino!#REF!,"AAAAAHe77hI=")</f>
        <v>#REF!</v>
      </c>
      <c r="T8" t="e">
        <f>AND(Camino!#REF!,"AAAAAHe77hM=")</f>
        <v>#REF!</v>
      </c>
      <c r="U8" t="e">
        <f>AND(Camino!#REF!,"AAAAAHe77hQ=")</f>
        <v>#REF!</v>
      </c>
      <c r="V8">
        <f>IF(Camino!14:14,"AAAAAHe77hU=",0)</f>
        <v>0</v>
      </c>
      <c r="W8" t="e">
        <f>AND(Camino!A14,"AAAAAHe77hY=")</f>
        <v>#VALUE!</v>
      </c>
      <c r="X8" t="e">
        <f>AND(Camino!B14,"AAAAAHe77hc=")</f>
        <v>#VALUE!</v>
      </c>
      <c r="Y8" t="e">
        <f>AND(Camino!C14,"AAAAAHe77hg=")</f>
        <v>#VALUE!</v>
      </c>
      <c r="Z8" t="e">
        <f>AND(Camino!D14,"AAAAAHe77hk=")</f>
        <v>#VALUE!</v>
      </c>
      <c r="AA8" t="e">
        <f>AND(Camino!#REF!,"AAAAAHe77ho=")</f>
        <v>#REF!</v>
      </c>
      <c r="AB8" t="e">
        <f>AND(Camino!#REF!,"AAAAAHe77hs=")</f>
        <v>#REF!</v>
      </c>
      <c r="AC8" t="e">
        <f>AND(Camino!#REF!,"AAAAAHe77hw=")</f>
        <v>#REF!</v>
      </c>
      <c r="AD8" t="e">
        <f>AND(Camino!#REF!,"AAAAAHe77h0=")</f>
        <v>#REF!</v>
      </c>
      <c r="AE8" t="e">
        <f>AND(Camino!E14,"AAAAAHe77h4=")</f>
        <v>#VALUE!</v>
      </c>
      <c r="AF8">
        <f>IF(Camino!15:15,"AAAAAHe77h8=",0)</f>
        <v>0</v>
      </c>
      <c r="AG8" t="e">
        <f>AND(Camino!A15,"AAAAAHe77iA=")</f>
        <v>#VALUE!</v>
      </c>
      <c r="AH8" t="e">
        <f>AND(Camino!B15,"AAAAAHe77iE=")</f>
        <v>#VALUE!</v>
      </c>
      <c r="AI8" t="e">
        <f>AND(Camino!C15,"AAAAAHe77iI=")</f>
        <v>#VALUE!</v>
      </c>
      <c r="AJ8" t="e">
        <f>AND(Camino!D15,"AAAAAHe77iM=")</f>
        <v>#VALUE!</v>
      </c>
      <c r="AK8" t="e">
        <f>AND(Camino!#REF!,"AAAAAHe77iQ=")</f>
        <v>#REF!</v>
      </c>
      <c r="AL8" t="e">
        <f>AND(Camino!#REF!,"AAAAAHe77iU=")</f>
        <v>#REF!</v>
      </c>
      <c r="AM8" t="e">
        <f>AND(Camino!#REF!,"AAAAAHe77iY=")</f>
        <v>#REF!</v>
      </c>
      <c r="AN8" t="e">
        <f>AND(Camino!#REF!,"AAAAAHe77ic=")</f>
        <v>#REF!</v>
      </c>
      <c r="AO8" t="e">
        <f>AND(Camino!E15,"AAAAAHe77ig=")</f>
        <v>#VALUE!</v>
      </c>
      <c r="AP8">
        <f>IF(Camino!16:16,"AAAAAHe77ik=",0)</f>
        <v>0</v>
      </c>
      <c r="AQ8" t="e">
        <f>AND(Camino!A16,"AAAAAHe77io=")</f>
        <v>#VALUE!</v>
      </c>
      <c r="AR8" t="e">
        <f>AND(Camino!B16,"AAAAAHe77is=")</f>
        <v>#VALUE!</v>
      </c>
      <c r="AS8" t="e">
        <f>AND(Camino!C16,"AAAAAHe77iw=")</f>
        <v>#VALUE!</v>
      </c>
      <c r="AT8" t="e">
        <f>AND(Camino!D16,"AAAAAHe77i0=")</f>
        <v>#VALUE!</v>
      </c>
      <c r="AU8" t="e">
        <f>AND(Camino!#REF!,"AAAAAHe77i4=")</f>
        <v>#REF!</v>
      </c>
      <c r="AV8" t="e">
        <f>AND(Camino!#REF!,"AAAAAHe77i8=")</f>
        <v>#REF!</v>
      </c>
      <c r="AW8" t="e">
        <f>AND(Camino!#REF!,"AAAAAHe77jA=")</f>
        <v>#REF!</v>
      </c>
      <c r="AX8" t="e">
        <f>AND(Camino!#REF!,"AAAAAHe77jE=")</f>
        <v>#REF!</v>
      </c>
      <c r="AY8" t="e">
        <f>AND(Camino!E16,"AAAAAHe77jI=")</f>
        <v>#VALUE!</v>
      </c>
      <c r="AZ8">
        <f>IF(Camino!17:17,"AAAAAHe77jM=",0)</f>
        <v>0</v>
      </c>
      <c r="BA8" t="e">
        <f>AND(Camino!A17,"AAAAAHe77jQ=")</f>
        <v>#VALUE!</v>
      </c>
      <c r="BB8" t="e">
        <f>AND(Camino!B17,"AAAAAHe77jU=")</f>
        <v>#VALUE!</v>
      </c>
      <c r="BC8" t="e">
        <f>AND(Camino!C17,"AAAAAHe77jY=")</f>
        <v>#VALUE!</v>
      </c>
      <c r="BD8" t="e">
        <f>AND(Camino!D17,"AAAAAHe77jc=")</f>
        <v>#VALUE!</v>
      </c>
      <c r="BE8" t="e">
        <f>AND(Camino!#REF!,"AAAAAHe77jg=")</f>
        <v>#REF!</v>
      </c>
      <c r="BF8" t="e">
        <f>AND(Camino!#REF!,"AAAAAHe77jk=")</f>
        <v>#REF!</v>
      </c>
      <c r="BG8" t="e">
        <f>AND(Camino!#REF!,"AAAAAHe77jo=")</f>
        <v>#REF!</v>
      </c>
      <c r="BH8" t="e">
        <f>AND(Camino!#REF!,"AAAAAHe77js=")</f>
        <v>#REF!</v>
      </c>
      <c r="BI8" t="e">
        <f>AND(Camino!E17,"AAAAAHe77jw=")</f>
        <v>#VALUE!</v>
      </c>
      <c r="BJ8">
        <f>IF(Camino!18:18,"AAAAAHe77j0=",0)</f>
        <v>0</v>
      </c>
      <c r="BK8" t="e">
        <f>AND(Camino!A18,"AAAAAHe77j4=")</f>
        <v>#VALUE!</v>
      </c>
      <c r="BL8" t="e">
        <f>AND(Camino!B18,"AAAAAHe77j8=")</f>
        <v>#VALUE!</v>
      </c>
      <c r="BM8" t="e">
        <f>AND(Camino!C18,"AAAAAHe77kA=")</f>
        <v>#VALUE!</v>
      </c>
      <c r="BN8" t="e">
        <f>AND(Camino!D18,"AAAAAHe77kE=")</f>
        <v>#VALUE!</v>
      </c>
      <c r="BO8" t="e">
        <f>AND(Camino!#REF!,"AAAAAHe77kI=")</f>
        <v>#REF!</v>
      </c>
      <c r="BP8" t="e">
        <f>AND(Camino!#REF!,"AAAAAHe77kM=")</f>
        <v>#REF!</v>
      </c>
      <c r="BQ8" t="e">
        <f>AND(Camino!#REF!,"AAAAAHe77kQ=")</f>
        <v>#REF!</v>
      </c>
      <c r="BR8" t="e">
        <f>AND(Camino!#REF!,"AAAAAHe77kU=")</f>
        <v>#REF!</v>
      </c>
      <c r="BS8" t="e">
        <f>AND(Camino!E18,"AAAAAHe77kY=")</f>
        <v>#VALUE!</v>
      </c>
      <c r="BT8">
        <f>IF(Camino!19:19,"AAAAAHe77kc=",0)</f>
        <v>0</v>
      </c>
      <c r="BU8" t="e">
        <f>AND(Camino!A19,"AAAAAHe77kg=")</f>
        <v>#VALUE!</v>
      </c>
      <c r="BV8" t="e">
        <f>AND(Camino!B19,"AAAAAHe77kk=")</f>
        <v>#VALUE!</v>
      </c>
      <c r="BW8" t="e">
        <f>AND(Camino!C19,"AAAAAHe77ko=")</f>
        <v>#VALUE!</v>
      </c>
      <c r="BX8" t="e">
        <f>AND(Camino!D19,"AAAAAHe77ks=")</f>
        <v>#VALUE!</v>
      </c>
      <c r="BY8" t="e">
        <f>AND(Camino!#REF!,"AAAAAHe77kw=")</f>
        <v>#REF!</v>
      </c>
      <c r="BZ8" t="e">
        <f>AND(Camino!#REF!,"AAAAAHe77k0=")</f>
        <v>#REF!</v>
      </c>
      <c r="CA8" t="e">
        <f>AND(Camino!#REF!,"AAAAAHe77k4=")</f>
        <v>#REF!</v>
      </c>
      <c r="CB8" t="e">
        <f>AND(Camino!#REF!,"AAAAAHe77k8=")</f>
        <v>#REF!</v>
      </c>
      <c r="CC8" t="e">
        <f>AND(Camino!E19,"AAAAAHe77lA=")</f>
        <v>#VALUE!</v>
      </c>
      <c r="CD8">
        <f>IF(Camino!20:20,"AAAAAHe77lE=",0)</f>
        <v>0</v>
      </c>
      <c r="CE8" t="e">
        <f>AND(Camino!A20,"AAAAAHe77lI=")</f>
        <v>#VALUE!</v>
      </c>
      <c r="CF8" t="e">
        <f>AND(Camino!B20,"AAAAAHe77lM=")</f>
        <v>#VALUE!</v>
      </c>
      <c r="CG8" t="e">
        <f>AND(Camino!C20,"AAAAAHe77lQ=")</f>
        <v>#VALUE!</v>
      </c>
      <c r="CH8" t="e">
        <f>AND(Camino!D20,"AAAAAHe77lU=")</f>
        <v>#VALUE!</v>
      </c>
      <c r="CI8" t="e">
        <f>AND(Camino!#REF!,"AAAAAHe77lY=")</f>
        <v>#REF!</v>
      </c>
      <c r="CJ8" t="e">
        <f>AND(Camino!#REF!,"AAAAAHe77lc=")</f>
        <v>#REF!</v>
      </c>
      <c r="CK8" t="e">
        <f>AND(Camino!#REF!,"AAAAAHe77lg=")</f>
        <v>#REF!</v>
      </c>
      <c r="CL8" t="e">
        <f>AND(Camino!#REF!,"AAAAAHe77lk=")</f>
        <v>#REF!</v>
      </c>
      <c r="CM8" t="e">
        <f>AND(Camino!E20,"AAAAAHe77lo=")</f>
        <v>#VALUE!</v>
      </c>
      <c r="CN8">
        <f>IF(Camino!21:21,"AAAAAHe77ls=",0)</f>
        <v>0</v>
      </c>
      <c r="CO8" t="e">
        <f>AND(Camino!A21,"AAAAAHe77lw=")</f>
        <v>#VALUE!</v>
      </c>
      <c r="CP8" t="e">
        <f>AND(Camino!B21,"AAAAAHe77l0=")</f>
        <v>#VALUE!</v>
      </c>
      <c r="CQ8" t="e">
        <f>AND(Camino!C21,"AAAAAHe77l4=")</f>
        <v>#VALUE!</v>
      </c>
      <c r="CR8" t="e">
        <f>AND(Camino!D21,"AAAAAHe77l8=")</f>
        <v>#VALUE!</v>
      </c>
      <c r="CS8" t="e">
        <f>AND(Camino!#REF!,"AAAAAHe77mA=")</f>
        <v>#REF!</v>
      </c>
      <c r="CT8" t="e">
        <f>AND(Camino!#REF!,"AAAAAHe77mE=")</f>
        <v>#REF!</v>
      </c>
      <c r="CU8" t="e">
        <f>AND(Camino!#REF!,"AAAAAHe77mI=")</f>
        <v>#REF!</v>
      </c>
      <c r="CV8" t="e">
        <f>AND(Camino!#REF!,"AAAAAHe77mM=")</f>
        <v>#REF!</v>
      </c>
      <c r="CW8" t="e">
        <f>AND(Camino!E21,"AAAAAHe77mQ=")</f>
        <v>#VALUE!</v>
      </c>
      <c r="CX8">
        <f>IF(Camino!22:22,"AAAAAHe77mU=",0)</f>
        <v>0</v>
      </c>
      <c r="CY8" t="e">
        <f>AND(Camino!A22,"AAAAAHe77mY=")</f>
        <v>#VALUE!</v>
      </c>
      <c r="CZ8" t="e">
        <f>AND(Camino!B22,"AAAAAHe77mc=")</f>
        <v>#VALUE!</v>
      </c>
      <c r="DA8" t="e">
        <f>AND(Camino!C22,"AAAAAHe77mg=")</f>
        <v>#VALUE!</v>
      </c>
      <c r="DB8" t="e">
        <f>AND(Camino!D22,"AAAAAHe77mk=")</f>
        <v>#VALUE!</v>
      </c>
      <c r="DC8" t="e">
        <f>AND(Camino!#REF!,"AAAAAHe77mo=")</f>
        <v>#REF!</v>
      </c>
      <c r="DD8" t="e">
        <f>AND(Camino!#REF!,"AAAAAHe77ms=")</f>
        <v>#REF!</v>
      </c>
      <c r="DE8" t="e">
        <f>AND(Camino!#REF!,"AAAAAHe77mw=")</f>
        <v>#REF!</v>
      </c>
      <c r="DF8" t="e">
        <f>AND(Camino!#REF!,"AAAAAHe77m0=")</f>
        <v>#REF!</v>
      </c>
      <c r="DG8" t="e">
        <f>AND(Camino!E22,"AAAAAHe77m4=")</f>
        <v>#VALUE!</v>
      </c>
      <c r="DH8">
        <f>IF(Camino!23:23,"AAAAAHe77m8=",0)</f>
        <v>0</v>
      </c>
      <c r="DI8" t="e">
        <f>AND(Camino!A23,"AAAAAHe77nA=")</f>
        <v>#VALUE!</v>
      </c>
      <c r="DJ8" t="e">
        <f>AND(Camino!B23,"AAAAAHe77nE=")</f>
        <v>#VALUE!</v>
      </c>
      <c r="DK8" t="e">
        <f>AND(Camino!C23,"AAAAAHe77nI=")</f>
        <v>#VALUE!</v>
      </c>
      <c r="DL8" t="e">
        <f>AND(Camino!D23,"AAAAAHe77nM=")</f>
        <v>#VALUE!</v>
      </c>
      <c r="DM8" t="e">
        <f>AND(Camino!#REF!,"AAAAAHe77nQ=")</f>
        <v>#REF!</v>
      </c>
      <c r="DN8" t="e">
        <f>AND(Camino!#REF!,"AAAAAHe77nU=")</f>
        <v>#REF!</v>
      </c>
      <c r="DO8" t="e">
        <f>AND(Camino!#REF!,"AAAAAHe77nY=")</f>
        <v>#REF!</v>
      </c>
      <c r="DP8" t="e">
        <f>AND(Camino!#REF!,"AAAAAHe77nc=")</f>
        <v>#REF!</v>
      </c>
      <c r="DQ8" t="e">
        <f>AND(Camino!E23,"AAAAAHe77ng=")</f>
        <v>#VALUE!</v>
      </c>
      <c r="DR8">
        <f>IF(Camino!24:24,"AAAAAHe77nk=",0)</f>
        <v>0</v>
      </c>
      <c r="DS8" t="e">
        <f>AND(Camino!A24,"AAAAAHe77no=")</f>
        <v>#VALUE!</v>
      </c>
      <c r="DT8" t="e">
        <f>AND(Camino!B24,"AAAAAHe77ns=")</f>
        <v>#VALUE!</v>
      </c>
      <c r="DU8" t="e">
        <f>AND(Camino!C24,"AAAAAHe77nw=")</f>
        <v>#VALUE!</v>
      </c>
      <c r="DV8" t="e">
        <f>AND(Camino!D24,"AAAAAHe77n0=")</f>
        <v>#VALUE!</v>
      </c>
      <c r="DW8" t="e">
        <f>AND(Camino!#REF!,"AAAAAHe77n4=")</f>
        <v>#REF!</v>
      </c>
      <c r="DX8" t="e">
        <f>AND(Camino!#REF!,"AAAAAHe77n8=")</f>
        <v>#REF!</v>
      </c>
      <c r="DY8" t="e">
        <f>AND(Camino!#REF!,"AAAAAHe77oA=")</f>
        <v>#REF!</v>
      </c>
      <c r="DZ8" t="e">
        <f>AND(Camino!#REF!,"AAAAAHe77oE=")</f>
        <v>#REF!</v>
      </c>
      <c r="EA8" t="e">
        <f>AND(Camino!E24,"AAAAAHe77oI=")</f>
        <v>#VALUE!</v>
      </c>
      <c r="EB8">
        <f>IF(Camino!25:25,"AAAAAHe77oM=",0)</f>
        <v>0</v>
      </c>
      <c r="EC8" t="e">
        <f>AND(Camino!A25,"AAAAAHe77oQ=")</f>
        <v>#VALUE!</v>
      </c>
      <c r="ED8" t="e">
        <f>AND(Camino!B25,"AAAAAHe77oU=")</f>
        <v>#VALUE!</v>
      </c>
      <c r="EE8" t="e">
        <f>AND(Camino!C25,"AAAAAHe77oY=")</f>
        <v>#VALUE!</v>
      </c>
      <c r="EF8" t="e">
        <f>AND(Camino!D25,"AAAAAHe77oc=")</f>
        <v>#VALUE!</v>
      </c>
      <c r="EG8" t="e">
        <f>AND(Camino!#REF!,"AAAAAHe77og=")</f>
        <v>#REF!</v>
      </c>
      <c r="EH8" t="e">
        <f>AND(Camino!#REF!,"AAAAAHe77ok=")</f>
        <v>#REF!</v>
      </c>
      <c r="EI8" t="e">
        <f>AND(Camino!#REF!,"AAAAAHe77oo=")</f>
        <v>#REF!</v>
      </c>
      <c r="EJ8" t="e">
        <f>AND(Camino!#REF!,"AAAAAHe77os=")</f>
        <v>#REF!</v>
      </c>
      <c r="EK8" t="e">
        <f>AND(Camino!E25,"AAAAAHe77ow=")</f>
        <v>#VALUE!</v>
      </c>
      <c r="EL8">
        <f>IF(Camino!26:26,"AAAAAHe77o0=",0)</f>
        <v>0</v>
      </c>
      <c r="EM8" t="e">
        <f>AND(Camino!A26,"AAAAAHe77o4=")</f>
        <v>#VALUE!</v>
      </c>
      <c r="EN8" t="e">
        <f>AND(Camino!B26,"AAAAAHe77o8=")</f>
        <v>#VALUE!</v>
      </c>
      <c r="EO8" t="e">
        <f>AND(Camino!C26,"AAAAAHe77pA=")</f>
        <v>#VALUE!</v>
      </c>
      <c r="EP8" t="e">
        <f>AND(Camino!D26,"AAAAAHe77pE=")</f>
        <v>#VALUE!</v>
      </c>
      <c r="EQ8" t="e">
        <f>AND(Camino!#REF!,"AAAAAHe77pI=")</f>
        <v>#REF!</v>
      </c>
      <c r="ER8" t="e">
        <f>AND(Camino!#REF!,"AAAAAHe77pM=")</f>
        <v>#REF!</v>
      </c>
      <c r="ES8" t="e">
        <f>AND(Camino!#REF!,"AAAAAHe77pQ=")</f>
        <v>#REF!</v>
      </c>
      <c r="ET8" t="e">
        <f>AND(Camino!#REF!,"AAAAAHe77pU=")</f>
        <v>#REF!</v>
      </c>
      <c r="EU8" t="e">
        <f>AND(Camino!E26,"AAAAAHe77pY=")</f>
        <v>#VALUE!</v>
      </c>
      <c r="EV8">
        <f>IF(Camino!27:27,"AAAAAHe77pc=",0)</f>
        <v>0</v>
      </c>
      <c r="EW8" t="e">
        <f>AND(Camino!A27,"AAAAAHe77pg=")</f>
        <v>#VALUE!</v>
      </c>
      <c r="EX8" t="e">
        <f>AND(Camino!B27,"AAAAAHe77pk=")</f>
        <v>#VALUE!</v>
      </c>
      <c r="EY8" t="e">
        <f>AND(Camino!C27,"AAAAAHe77po=")</f>
        <v>#VALUE!</v>
      </c>
      <c r="EZ8" t="e">
        <f>AND(Camino!D27,"AAAAAHe77ps=")</f>
        <v>#VALUE!</v>
      </c>
      <c r="FA8" t="e">
        <f>AND(Camino!#REF!,"AAAAAHe77pw=")</f>
        <v>#REF!</v>
      </c>
      <c r="FB8" t="e">
        <f>AND(Camino!#REF!,"AAAAAHe77p0=")</f>
        <v>#REF!</v>
      </c>
      <c r="FC8" t="e">
        <f>AND(Camino!#REF!,"AAAAAHe77p4=")</f>
        <v>#REF!</v>
      </c>
      <c r="FD8" t="e">
        <f>AND(Camino!#REF!,"AAAAAHe77p8=")</f>
        <v>#REF!</v>
      </c>
      <c r="FE8" t="e">
        <f>AND(Camino!E27,"AAAAAHe77qA=")</f>
        <v>#VALUE!</v>
      </c>
      <c r="FF8">
        <f>IF(Camino!28:28,"AAAAAHe77qE=",0)</f>
        <v>0</v>
      </c>
      <c r="FG8" t="e">
        <f>AND(Camino!A28,"AAAAAHe77qI=")</f>
        <v>#VALUE!</v>
      </c>
      <c r="FH8" t="e">
        <f>AND(Camino!B28,"AAAAAHe77qM=")</f>
        <v>#VALUE!</v>
      </c>
      <c r="FI8" t="e">
        <f>AND(Camino!C28,"AAAAAHe77qQ=")</f>
        <v>#VALUE!</v>
      </c>
      <c r="FJ8" t="e">
        <f>AND(Camino!D28,"AAAAAHe77qU=")</f>
        <v>#VALUE!</v>
      </c>
      <c r="FK8" t="e">
        <f>AND(Camino!#REF!,"AAAAAHe77qY=")</f>
        <v>#REF!</v>
      </c>
      <c r="FL8" t="e">
        <f>AND(Camino!#REF!,"AAAAAHe77qc=")</f>
        <v>#REF!</v>
      </c>
      <c r="FM8" t="e">
        <f>AND(Camino!#REF!,"AAAAAHe77qg=")</f>
        <v>#REF!</v>
      </c>
      <c r="FN8" t="e">
        <f>AND(Camino!#REF!,"AAAAAHe77qk=")</f>
        <v>#REF!</v>
      </c>
      <c r="FO8" t="e">
        <f>AND(Camino!E28,"AAAAAHe77qo=")</f>
        <v>#VALUE!</v>
      </c>
      <c r="FP8">
        <f>IF(Camino!29:29,"AAAAAHe77qs=",0)</f>
        <v>0</v>
      </c>
      <c r="FQ8" t="e">
        <f>AND(Camino!A29,"AAAAAHe77qw=")</f>
        <v>#VALUE!</v>
      </c>
      <c r="FR8" t="e">
        <f>AND(Camino!B29,"AAAAAHe77q0=")</f>
        <v>#VALUE!</v>
      </c>
      <c r="FS8" t="e">
        <f>AND(Camino!C29,"AAAAAHe77q4=")</f>
        <v>#VALUE!</v>
      </c>
      <c r="FT8" t="e">
        <f>AND(Camino!D29,"AAAAAHe77q8=")</f>
        <v>#VALUE!</v>
      </c>
      <c r="FU8" t="e">
        <f>AND(Camino!#REF!,"AAAAAHe77rA=")</f>
        <v>#REF!</v>
      </c>
      <c r="FV8" t="e">
        <f>AND(Camino!#REF!,"AAAAAHe77rE=")</f>
        <v>#REF!</v>
      </c>
      <c r="FW8" t="e">
        <f>AND(Camino!#REF!,"AAAAAHe77rI=")</f>
        <v>#REF!</v>
      </c>
      <c r="FX8" t="e">
        <f>AND(Camino!#REF!,"AAAAAHe77rM=")</f>
        <v>#REF!</v>
      </c>
      <c r="FY8" t="e">
        <f>AND(Camino!E29,"AAAAAHe77rQ=")</f>
        <v>#VALUE!</v>
      </c>
      <c r="FZ8">
        <f>IF(Camino!30:30,"AAAAAHe77rU=",0)</f>
        <v>0</v>
      </c>
      <c r="GA8" t="e">
        <f>AND(Camino!A30,"AAAAAHe77rY=")</f>
        <v>#VALUE!</v>
      </c>
      <c r="GB8" t="e">
        <f>AND(Camino!B30,"AAAAAHe77rc=")</f>
        <v>#VALUE!</v>
      </c>
      <c r="GC8" t="e">
        <f>AND(Camino!C30,"AAAAAHe77rg=")</f>
        <v>#VALUE!</v>
      </c>
      <c r="GD8" t="e">
        <f>AND(Camino!D30,"AAAAAHe77rk=")</f>
        <v>#VALUE!</v>
      </c>
      <c r="GE8" t="e">
        <f>AND(Camino!#REF!,"AAAAAHe77ro=")</f>
        <v>#REF!</v>
      </c>
      <c r="GF8" t="e">
        <f>AND(Camino!#REF!,"AAAAAHe77rs=")</f>
        <v>#REF!</v>
      </c>
      <c r="GG8" t="e">
        <f>AND(Camino!#REF!,"AAAAAHe77rw=")</f>
        <v>#REF!</v>
      </c>
      <c r="GH8" t="e">
        <f>AND(Camino!#REF!,"AAAAAHe77r0=")</f>
        <v>#REF!</v>
      </c>
      <c r="GI8" t="e">
        <f>AND(Camino!E30,"AAAAAHe77r4=")</f>
        <v>#VALUE!</v>
      </c>
      <c r="GJ8">
        <f>IF(Camino!31:31,"AAAAAHe77r8=",0)</f>
        <v>0</v>
      </c>
      <c r="GK8" t="e">
        <f>AND(Camino!A31,"AAAAAHe77sA=")</f>
        <v>#VALUE!</v>
      </c>
      <c r="GL8" t="e">
        <f>AND(Camino!B31,"AAAAAHe77sE=")</f>
        <v>#VALUE!</v>
      </c>
      <c r="GM8" t="e">
        <f>AND(Camino!C31,"AAAAAHe77sI=")</f>
        <v>#VALUE!</v>
      </c>
      <c r="GN8" t="e">
        <f>AND(Camino!D31,"AAAAAHe77sM=")</f>
        <v>#VALUE!</v>
      </c>
      <c r="GO8" t="e">
        <f>AND(Camino!#REF!,"AAAAAHe77sQ=")</f>
        <v>#REF!</v>
      </c>
      <c r="GP8" t="e">
        <f>AND(Camino!#REF!,"AAAAAHe77sU=")</f>
        <v>#REF!</v>
      </c>
      <c r="GQ8" t="e">
        <f>AND(Camino!#REF!,"AAAAAHe77sY=")</f>
        <v>#REF!</v>
      </c>
      <c r="GR8" t="e">
        <f>AND(Camino!#REF!,"AAAAAHe77sc=")</f>
        <v>#REF!</v>
      </c>
      <c r="GS8" t="e">
        <f>AND(Camino!E31,"AAAAAHe77sg=")</f>
        <v>#VALUE!</v>
      </c>
      <c r="GT8">
        <f>IF(Camino!32:32,"AAAAAHe77sk=",0)</f>
        <v>0</v>
      </c>
      <c r="GU8" t="e">
        <f>AND(Camino!A32,"AAAAAHe77so=")</f>
        <v>#VALUE!</v>
      </c>
      <c r="GV8" t="e">
        <f>AND(Camino!B32,"AAAAAHe77ss=")</f>
        <v>#VALUE!</v>
      </c>
      <c r="GW8" t="e">
        <f>AND(Camino!C32,"AAAAAHe77sw=")</f>
        <v>#VALUE!</v>
      </c>
      <c r="GX8" t="e">
        <f>AND(Camino!D32,"AAAAAHe77s0=")</f>
        <v>#VALUE!</v>
      </c>
      <c r="GY8" t="e">
        <f>AND(Camino!#REF!,"AAAAAHe77s4=")</f>
        <v>#REF!</v>
      </c>
      <c r="GZ8" t="e">
        <f>AND(Camino!#REF!,"AAAAAHe77s8=")</f>
        <v>#REF!</v>
      </c>
      <c r="HA8" t="e">
        <f>AND(Camino!#REF!,"AAAAAHe77tA=")</f>
        <v>#REF!</v>
      </c>
      <c r="HB8" t="e">
        <f>AND(Camino!#REF!,"AAAAAHe77tE=")</f>
        <v>#REF!</v>
      </c>
      <c r="HC8" t="e">
        <f>AND(Camino!E32,"AAAAAHe77tI=")</f>
        <v>#VALUE!</v>
      </c>
      <c r="HD8">
        <f>IF(Camino!33:33,"AAAAAHe77tM=",0)</f>
        <v>0</v>
      </c>
      <c r="HE8" t="e">
        <f>AND(Camino!A33,"AAAAAHe77tQ=")</f>
        <v>#VALUE!</v>
      </c>
      <c r="HF8" t="e">
        <f>AND(Camino!B33,"AAAAAHe77tU=")</f>
        <v>#VALUE!</v>
      </c>
      <c r="HG8" t="e">
        <f>AND(Camino!C33,"AAAAAHe77tY=")</f>
        <v>#VALUE!</v>
      </c>
      <c r="HH8" t="e">
        <f>AND(Camino!D33,"AAAAAHe77tc=")</f>
        <v>#VALUE!</v>
      </c>
      <c r="HI8" t="e">
        <f>AND(Camino!#REF!,"AAAAAHe77tg=")</f>
        <v>#REF!</v>
      </c>
      <c r="HJ8" t="e">
        <f>AND(Camino!#REF!,"AAAAAHe77tk=")</f>
        <v>#REF!</v>
      </c>
      <c r="HK8" t="e">
        <f>AND(Camino!#REF!,"AAAAAHe77to=")</f>
        <v>#REF!</v>
      </c>
      <c r="HL8" t="e">
        <f>AND(Camino!#REF!,"AAAAAHe77ts=")</f>
        <v>#REF!</v>
      </c>
      <c r="HM8" t="e">
        <f>AND(Camino!E33,"AAAAAHe77tw=")</f>
        <v>#VALUE!</v>
      </c>
      <c r="HN8">
        <f>IF(Camino!34:34,"AAAAAHe77t0=",0)</f>
        <v>0</v>
      </c>
      <c r="HO8" t="e">
        <f>AND(Camino!A34,"AAAAAHe77t4=")</f>
        <v>#VALUE!</v>
      </c>
      <c r="HP8" t="e">
        <f>AND(Camino!B34,"AAAAAHe77t8=")</f>
        <v>#VALUE!</v>
      </c>
      <c r="HQ8" t="e">
        <f>AND(Camino!C34,"AAAAAHe77uA=")</f>
        <v>#VALUE!</v>
      </c>
      <c r="HR8" t="e">
        <f>AND(Camino!D34,"AAAAAHe77uE=")</f>
        <v>#VALUE!</v>
      </c>
      <c r="HS8" t="e">
        <f>AND(Camino!#REF!,"AAAAAHe77uI=")</f>
        <v>#REF!</v>
      </c>
      <c r="HT8" t="e">
        <f>AND(Camino!#REF!,"AAAAAHe77uM=")</f>
        <v>#REF!</v>
      </c>
      <c r="HU8" t="e">
        <f>AND(Camino!#REF!,"AAAAAHe77uQ=")</f>
        <v>#REF!</v>
      </c>
      <c r="HV8" t="e">
        <f>AND(Camino!#REF!,"AAAAAHe77uU=")</f>
        <v>#REF!</v>
      </c>
      <c r="HW8" t="e">
        <f>AND(Camino!E34,"AAAAAHe77uY=")</f>
        <v>#VALUE!</v>
      </c>
      <c r="HX8">
        <f>IF(Camino!35:35,"AAAAAHe77uc=",0)</f>
        <v>0</v>
      </c>
      <c r="HY8" t="e">
        <f>AND(Camino!A35,"AAAAAHe77ug=")</f>
        <v>#VALUE!</v>
      </c>
      <c r="HZ8" t="e">
        <f>AND(Camino!B35,"AAAAAHe77uk=")</f>
        <v>#VALUE!</v>
      </c>
      <c r="IA8" t="e">
        <f>AND(Camino!C35,"AAAAAHe77uo=")</f>
        <v>#VALUE!</v>
      </c>
      <c r="IB8" t="e">
        <f>AND(Camino!D35,"AAAAAHe77us=")</f>
        <v>#VALUE!</v>
      </c>
      <c r="IC8" t="e">
        <f>AND(Camino!#REF!,"AAAAAHe77uw=")</f>
        <v>#REF!</v>
      </c>
      <c r="ID8" t="e">
        <f>AND(Camino!#REF!,"AAAAAHe77u0=")</f>
        <v>#REF!</v>
      </c>
      <c r="IE8" t="e">
        <f>AND(Camino!#REF!,"AAAAAHe77u4=")</f>
        <v>#REF!</v>
      </c>
      <c r="IF8" t="e">
        <f>AND(Camino!#REF!,"AAAAAHe77u8=")</f>
        <v>#REF!</v>
      </c>
      <c r="IG8" t="e">
        <f>AND(Camino!E35,"AAAAAHe77vA=")</f>
        <v>#VALUE!</v>
      </c>
      <c r="IH8">
        <f>IF(Camino!36:36,"AAAAAHe77vE=",0)</f>
        <v>0</v>
      </c>
      <c r="II8" t="e">
        <f>AND(Camino!A36,"AAAAAHe77vI=")</f>
        <v>#VALUE!</v>
      </c>
      <c r="IJ8" t="e">
        <f>AND(Camino!B36,"AAAAAHe77vM=")</f>
        <v>#VALUE!</v>
      </c>
      <c r="IK8" t="e">
        <f>AND(Camino!C36,"AAAAAHe77vQ=")</f>
        <v>#VALUE!</v>
      </c>
      <c r="IL8" t="e">
        <f>AND(Camino!D36,"AAAAAHe77vU=")</f>
        <v>#VALUE!</v>
      </c>
      <c r="IM8" t="e">
        <f>AND(Camino!#REF!,"AAAAAHe77vY=")</f>
        <v>#REF!</v>
      </c>
      <c r="IN8" t="e">
        <f>AND(Camino!#REF!,"AAAAAHe77vc=")</f>
        <v>#REF!</v>
      </c>
      <c r="IO8" t="e">
        <f>AND(Camino!#REF!,"AAAAAHe77vg=")</f>
        <v>#REF!</v>
      </c>
      <c r="IP8" t="e">
        <f>AND(Camino!#REF!,"AAAAAHe77vk=")</f>
        <v>#REF!</v>
      </c>
      <c r="IQ8" t="e">
        <f>AND(Camino!E36,"AAAAAHe77vo=")</f>
        <v>#VALUE!</v>
      </c>
      <c r="IR8">
        <f>IF(Camino!37:37,"AAAAAHe77vs=",0)</f>
        <v>0</v>
      </c>
      <c r="IS8" t="e">
        <f>AND(Camino!A37,"AAAAAHe77vw=")</f>
        <v>#VALUE!</v>
      </c>
      <c r="IT8" t="e">
        <f>AND(Camino!B37,"AAAAAHe77v0=")</f>
        <v>#VALUE!</v>
      </c>
      <c r="IU8" t="e">
        <f>AND(Camino!C37,"AAAAAHe77v4=")</f>
        <v>#VALUE!</v>
      </c>
      <c r="IV8" t="e">
        <f>AND(Camino!D37,"AAAAAHe77v8=")</f>
        <v>#VALUE!</v>
      </c>
    </row>
    <row r="9" spans="1:256" ht="12.75">
      <c r="A9" t="e">
        <f>AND(Camino!#REF!,"AAAAAG9fXgA=")</f>
        <v>#REF!</v>
      </c>
      <c r="B9" t="e">
        <f>AND(Camino!#REF!,"AAAAAG9fXgE=")</f>
        <v>#REF!</v>
      </c>
      <c r="C9" t="e">
        <f>AND(Camino!#REF!,"AAAAAG9fXgI=")</f>
        <v>#REF!</v>
      </c>
      <c r="D9" t="e">
        <f>AND(Camino!#REF!,"AAAAAG9fXgM=")</f>
        <v>#REF!</v>
      </c>
      <c r="E9" t="e">
        <f>AND(Camino!E37,"AAAAAG9fXgQ=")</f>
        <v>#VALUE!</v>
      </c>
      <c r="F9" t="str">
        <f>IF(Camino!38:38,"AAAAAG9fXgU=",0)</f>
        <v>AAAAAG9fXgU=</v>
      </c>
      <c r="G9" t="e">
        <f>AND(Camino!A38,"AAAAAG9fXgY=")</f>
        <v>#VALUE!</v>
      </c>
      <c r="H9" t="e">
        <f>AND(Camino!B38,"AAAAAG9fXgc=")</f>
        <v>#VALUE!</v>
      </c>
      <c r="I9" t="e">
        <f>AND(Camino!C38,"AAAAAG9fXgg=")</f>
        <v>#VALUE!</v>
      </c>
      <c r="J9" t="e">
        <f>AND(Camino!D38,"AAAAAG9fXgk=")</f>
        <v>#VALUE!</v>
      </c>
      <c r="K9" t="e">
        <f>AND(Camino!#REF!,"AAAAAG9fXgo=")</f>
        <v>#REF!</v>
      </c>
      <c r="L9" t="e">
        <f>AND(Camino!#REF!,"AAAAAG9fXgs=")</f>
        <v>#REF!</v>
      </c>
      <c r="M9" t="e">
        <f>AND(Camino!#REF!,"AAAAAG9fXgw=")</f>
        <v>#REF!</v>
      </c>
      <c r="N9" t="e">
        <f>AND(Camino!#REF!,"AAAAAG9fXg0=")</f>
        <v>#REF!</v>
      </c>
      <c r="O9" t="e">
        <f>AND(Camino!E38,"AAAAAG9fXg4=")</f>
        <v>#VALUE!</v>
      </c>
      <c r="P9">
        <f>IF(Camino!39:39,"AAAAAG9fXg8=",0)</f>
        <v>0</v>
      </c>
      <c r="Q9" t="e">
        <f>AND(Camino!A39,"AAAAAG9fXhA=")</f>
        <v>#VALUE!</v>
      </c>
      <c r="R9" t="e">
        <f>AND(Camino!B39,"AAAAAG9fXhE=")</f>
        <v>#VALUE!</v>
      </c>
      <c r="S9" t="e">
        <f>AND(Camino!C39,"AAAAAG9fXhI=")</f>
        <v>#VALUE!</v>
      </c>
      <c r="T9" t="e">
        <f>AND(Camino!D39,"AAAAAG9fXhM=")</f>
        <v>#VALUE!</v>
      </c>
      <c r="U9" t="e">
        <f>AND(Camino!#REF!,"AAAAAG9fXhQ=")</f>
        <v>#REF!</v>
      </c>
      <c r="V9" t="e">
        <f>AND(Camino!#REF!,"AAAAAG9fXhU=")</f>
        <v>#REF!</v>
      </c>
      <c r="W9" t="e">
        <f>AND(Camino!#REF!,"AAAAAG9fXhY=")</f>
        <v>#REF!</v>
      </c>
      <c r="X9" t="e">
        <f>AND(Camino!#REF!,"AAAAAG9fXhc=")</f>
        <v>#REF!</v>
      </c>
      <c r="Y9" t="e">
        <f>AND(Camino!E39,"AAAAAG9fXhg=")</f>
        <v>#VALUE!</v>
      </c>
      <c r="Z9">
        <f>IF(Camino!40:40,"AAAAAG9fXhk=",0)</f>
        <v>0</v>
      </c>
      <c r="AA9" t="e">
        <f>AND(Camino!A40,"AAAAAG9fXho=")</f>
        <v>#VALUE!</v>
      </c>
      <c r="AB9" t="e">
        <f>AND(Camino!B40,"AAAAAG9fXhs=")</f>
        <v>#VALUE!</v>
      </c>
      <c r="AC9" t="e">
        <f>AND(Camino!C40,"AAAAAG9fXhw=")</f>
        <v>#VALUE!</v>
      </c>
      <c r="AD9" t="e">
        <f>AND(Camino!D40,"AAAAAG9fXh0=")</f>
        <v>#VALUE!</v>
      </c>
      <c r="AE9" t="e">
        <f>AND(Camino!#REF!,"AAAAAG9fXh4=")</f>
        <v>#REF!</v>
      </c>
      <c r="AF9" t="e">
        <f>AND(Camino!#REF!,"AAAAAG9fXh8=")</f>
        <v>#REF!</v>
      </c>
      <c r="AG9" t="e">
        <f>AND(Camino!#REF!,"AAAAAG9fXiA=")</f>
        <v>#REF!</v>
      </c>
      <c r="AH9" t="e">
        <f>AND(Camino!#REF!,"AAAAAG9fXiE=")</f>
        <v>#REF!</v>
      </c>
      <c r="AI9" t="e">
        <f>AND(Camino!E40,"AAAAAG9fXiI=")</f>
        <v>#VALUE!</v>
      </c>
      <c r="AJ9">
        <f>IF(Camino!41:41,"AAAAAG9fXiM=",0)</f>
        <v>0</v>
      </c>
      <c r="AK9" t="e">
        <f>AND(Camino!A41,"AAAAAG9fXiQ=")</f>
        <v>#VALUE!</v>
      </c>
      <c r="AL9" t="e">
        <f>AND(Camino!B41,"AAAAAG9fXiU=")</f>
        <v>#VALUE!</v>
      </c>
      <c r="AM9" t="e">
        <f>AND(Camino!C41,"AAAAAG9fXiY=")</f>
        <v>#VALUE!</v>
      </c>
      <c r="AN9" t="e">
        <f>AND(Camino!D41,"AAAAAG9fXic=")</f>
        <v>#VALUE!</v>
      </c>
      <c r="AO9" t="e">
        <f>AND(Camino!#REF!,"AAAAAG9fXig=")</f>
        <v>#REF!</v>
      </c>
      <c r="AP9" t="e">
        <f>AND(Camino!#REF!,"AAAAAG9fXik=")</f>
        <v>#REF!</v>
      </c>
      <c r="AQ9" t="e">
        <f>AND(Camino!#REF!,"AAAAAG9fXio=")</f>
        <v>#REF!</v>
      </c>
      <c r="AR9" t="e">
        <f>AND(Camino!#REF!,"AAAAAG9fXis=")</f>
        <v>#REF!</v>
      </c>
      <c r="AS9" t="e">
        <f>AND(Camino!E41,"AAAAAG9fXiw=")</f>
        <v>#VALUE!</v>
      </c>
      <c r="AT9">
        <f>IF(Camino!42:42,"AAAAAG9fXi0=",0)</f>
        <v>0</v>
      </c>
      <c r="AU9" t="e">
        <f>AND(Camino!A42,"AAAAAG9fXi4=")</f>
        <v>#VALUE!</v>
      </c>
      <c r="AV9" t="e">
        <f>AND(Camino!B42,"AAAAAG9fXi8=")</f>
        <v>#VALUE!</v>
      </c>
      <c r="AW9" t="e">
        <f>AND(Camino!C42,"AAAAAG9fXjA=")</f>
        <v>#VALUE!</v>
      </c>
      <c r="AX9" t="e">
        <f>AND(Camino!D42,"AAAAAG9fXjE=")</f>
        <v>#VALUE!</v>
      </c>
      <c r="AY9" t="e">
        <f>AND(Camino!#REF!,"AAAAAG9fXjI=")</f>
        <v>#REF!</v>
      </c>
      <c r="AZ9" t="e">
        <f>AND(Camino!#REF!,"AAAAAG9fXjM=")</f>
        <v>#REF!</v>
      </c>
      <c r="BA9" t="e">
        <f>AND(Camino!#REF!,"AAAAAG9fXjQ=")</f>
        <v>#REF!</v>
      </c>
      <c r="BB9" t="e">
        <f>AND(Camino!#REF!,"AAAAAG9fXjU=")</f>
        <v>#REF!</v>
      </c>
      <c r="BC9" t="e">
        <f>AND(Camino!E42,"AAAAAG9fXjY=")</f>
        <v>#VALUE!</v>
      </c>
      <c r="BD9">
        <f>IF(Camino!43:43,"AAAAAG9fXjc=",0)</f>
        <v>0</v>
      </c>
      <c r="BE9" t="e">
        <f>AND(Camino!A43,"AAAAAG9fXjg=")</f>
        <v>#VALUE!</v>
      </c>
      <c r="BF9" t="e">
        <f>AND(Camino!B43,"AAAAAG9fXjk=")</f>
        <v>#VALUE!</v>
      </c>
      <c r="BG9" t="e">
        <f>AND(Camino!C43,"AAAAAG9fXjo=")</f>
        <v>#VALUE!</v>
      </c>
      <c r="BH9" t="e">
        <f>AND(Camino!D43,"AAAAAG9fXjs=")</f>
        <v>#VALUE!</v>
      </c>
      <c r="BI9" t="e">
        <f>AND(Camino!#REF!,"AAAAAG9fXjw=")</f>
        <v>#REF!</v>
      </c>
      <c r="BJ9" t="e">
        <f>AND(Camino!#REF!,"AAAAAG9fXj0=")</f>
        <v>#REF!</v>
      </c>
      <c r="BK9" t="e">
        <f>AND(Camino!#REF!,"AAAAAG9fXj4=")</f>
        <v>#REF!</v>
      </c>
      <c r="BL9" t="e">
        <f>AND(Camino!#REF!,"AAAAAG9fXj8=")</f>
        <v>#REF!</v>
      </c>
      <c r="BM9" t="e">
        <f>AND(Camino!E43,"AAAAAG9fXkA=")</f>
        <v>#VALUE!</v>
      </c>
      <c r="BN9">
        <f>IF(Camino!44:44,"AAAAAG9fXkE=",0)</f>
        <v>0</v>
      </c>
      <c r="BO9" t="e">
        <f>AND(Camino!A44,"AAAAAG9fXkI=")</f>
        <v>#VALUE!</v>
      </c>
      <c r="BP9" t="e">
        <f>AND(Camino!B44,"AAAAAG9fXkM=")</f>
        <v>#VALUE!</v>
      </c>
      <c r="BQ9" t="e">
        <f>AND(Camino!C44,"AAAAAG9fXkQ=")</f>
        <v>#VALUE!</v>
      </c>
      <c r="BR9" t="e">
        <f>AND(Camino!D44,"AAAAAG9fXkU=")</f>
        <v>#VALUE!</v>
      </c>
      <c r="BS9" t="e">
        <f>AND(Camino!#REF!,"AAAAAG9fXkY=")</f>
        <v>#REF!</v>
      </c>
      <c r="BT9" t="e">
        <f>AND(Camino!#REF!,"AAAAAG9fXkc=")</f>
        <v>#REF!</v>
      </c>
      <c r="BU9" t="e">
        <f>AND(Camino!#REF!,"AAAAAG9fXkg=")</f>
        <v>#REF!</v>
      </c>
      <c r="BV9" t="e">
        <f>AND(Camino!#REF!,"AAAAAG9fXkk=")</f>
        <v>#REF!</v>
      </c>
      <c r="BW9" t="e">
        <f>AND(Camino!E44,"AAAAAG9fXko=")</f>
        <v>#VALUE!</v>
      </c>
      <c r="BX9">
        <f>IF(Camino!45:45,"AAAAAG9fXks=",0)</f>
        <v>0</v>
      </c>
      <c r="BY9" t="e">
        <f>AND(Camino!A45,"AAAAAG9fXkw=")</f>
        <v>#VALUE!</v>
      </c>
      <c r="BZ9" t="e">
        <f>AND(Camino!B45,"AAAAAG9fXk0=")</f>
        <v>#VALUE!</v>
      </c>
      <c r="CA9" t="e">
        <f>AND(Camino!C45,"AAAAAG9fXk4=")</f>
        <v>#VALUE!</v>
      </c>
      <c r="CB9" t="e">
        <f>AND(Camino!D45,"AAAAAG9fXk8=")</f>
        <v>#VALUE!</v>
      </c>
      <c r="CC9" t="e">
        <f>AND(Camino!#REF!,"AAAAAG9fXlA=")</f>
        <v>#REF!</v>
      </c>
      <c r="CD9" t="e">
        <f>AND(Camino!#REF!,"AAAAAG9fXlE=")</f>
        <v>#REF!</v>
      </c>
      <c r="CE9" t="e">
        <f>AND(Camino!#REF!,"AAAAAG9fXlI=")</f>
        <v>#REF!</v>
      </c>
      <c r="CF9" t="e">
        <f>AND(Camino!#REF!,"AAAAAG9fXlM=")</f>
        <v>#REF!</v>
      </c>
      <c r="CG9" t="e">
        <f>AND(Camino!E45,"AAAAAG9fXlQ=")</f>
        <v>#VALUE!</v>
      </c>
      <c r="CH9">
        <f>IF(Camino!46:46,"AAAAAG9fXlU=",0)</f>
        <v>0</v>
      </c>
      <c r="CI9" t="e">
        <f>AND(Camino!A46,"AAAAAG9fXlY=")</f>
        <v>#VALUE!</v>
      </c>
      <c r="CJ9" t="e">
        <f>AND(Camino!B46,"AAAAAG9fXlc=")</f>
        <v>#VALUE!</v>
      </c>
      <c r="CK9" t="e">
        <f>AND(Camino!C46,"AAAAAG9fXlg=")</f>
        <v>#VALUE!</v>
      </c>
      <c r="CL9" t="e">
        <f>AND(Camino!D46,"AAAAAG9fXlk=")</f>
        <v>#VALUE!</v>
      </c>
      <c r="CM9" t="e">
        <f>AND(Camino!#REF!,"AAAAAG9fXlo=")</f>
        <v>#REF!</v>
      </c>
      <c r="CN9" t="e">
        <f>AND(Camino!#REF!,"AAAAAG9fXls=")</f>
        <v>#REF!</v>
      </c>
      <c r="CO9" t="e">
        <f>AND(Camino!#REF!,"AAAAAG9fXlw=")</f>
        <v>#REF!</v>
      </c>
      <c r="CP9" t="e">
        <f>AND(Camino!#REF!,"AAAAAG9fXl0=")</f>
        <v>#REF!</v>
      </c>
      <c r="CQ9" t="e">
        <f>AND(Camino!E46,"AAAAAG9fXl4=")</f>
        <v>#VALUE!</v>
      </c>
      <c r="CR9">
        <f>IF(Camino!47:47,"AAAAAG9fXl8=",0)</f>
        <v>0</v>
      </c>
      <c r="CS9" t="e">
        <f>AND(Camino!A47,"AAAAAG9fXmA=")</f>
        <v>#VALUE!</v>
      </c>
      <c r="CT9" t="e">
        <f>AND(Camino!B47,"AAAAAG9fXmE=")</f>
        <v>#VALUE!</v>
      </c>
      <c r="CU9" t="e">
        <f>AND(Camino!C47,"AAAAAG9fXmI=")</f>
        <v>#VALUE!</v>
      </c>
      <c r="CV9" t="e">
        <f>AND(Camino!D47,"AAAAAG9fXmM=")</f>
        <v>#VALUE!</v>
      </c>
      <c r="CW9" t="e">
        <f>AND(Camino!#REF!,"AAAAAG9fXmQ=")</f>
        <v>#REF!</v>
      </c>
      <c r="CX9" t="e">
        <f>AND(Camino!#REF!,"AAAAAG9fXmU=")</f>
        <v>#REF!</v>
      </c>
      <c r="CY9" t="e">
        <f>AND(Camino!#REF!,"AAAAAG9fXmY=")</f>
        <v>#REF!</v>
      </c>
      <c r="CZ9" t="e">
        <f>AND(Camino!#REF!,"AAAAAG9fXmc=")</f>
        <v>#REF!</v>
      </c>
      <c r="DA9" t="e">
        <f>AND(Camino!E47,"AAAAAG9fXmg=")</f>
        <v>#VALUE!</v>
      </c>
      <c r="DB9">
        <f>IF(Camino!48:48,"AAAAAG9fXmk=",0)</f>
        <v>0</v>
      </c>
      <c r="DC9" t="e">
        <f>AND(Camino!A48,"AAAAAG9fXmo=")</f>
        <v>#VALUE!</v>
      </c>
      <c r="DD9" t="e">
        <f>AND(Camino!B48,"AAAAAG9fXms=")</f>
        <v>#VALUE!</v>
      </c>
      <c r="DE9" t="e">
        <f>AND(Camino!C48,"AAAAAG9fXmw=")</f>
        <v>#VALUE!</v>
      </c>
      <c r="DF9" t="e">
        <f>AND(Camino!D48,"AAAAAG9fXm0=")</f>
        <v>#VALUE!</v>
      </c>
      <c r="DG9" t="e">
        <f>AND(Camino!#REF!,"AAAAAG9fXm4=")</f>
        <v>#REF!</v>
      </c>
      <c r="DH9" t="e">
        <f>AND(Camino!#REF!,"AAAAAG9fXm8=")</f>
        <v>#REF!</v>
      </c>
      <c r="DI9" t="e">
        <f>AND(Camino!#REF!,"AAAAAG9fXnA=")</f>
        <v>#REF!</v>
      </c>
      <c r="DJ9" t="e">
        <f>AND(Camino!#REF!,"AAAAAG9fXnE=")</f>
        <v>#REF!</v>
      </c>
      <c r="DK9" t="e">
        <f>AND(Camino!E48,"AAAAAG9fXnI=")</f>
        <v>#VALUE!</v>
      </c>
      <c r="DL9">
        <f>IF(Camino!49:49,"AAAAAG9fXnM=",0)</f>
        <v>0</v>
      </c>
      <c r="DM9" t="e">
        <f>AND(Camino!A49,"AAAAAG9fXnQ=")</f>
        <v>#VALUE!</v>
      </c>
      <c r="DN9" t="e">
        <f>AND(Camino!B49,"AAAAAG9fXnU=")</f>
        <v>#VALUE!</v>
      </c>
      <c r="DO9" t="e">
        <f>AND(Camino!C49,"AAAAAG9fXnY=")</f>
        <v>#VALUE!</v>
      </c>
      <c r="DP9" t="e">
        <f>AND(Camino!D49,"AAAAAG9fXnc=")</f>
        <v>#VALUE!</v>
      </c>
      <c r="DQ9" t="e">
        <f>AND(Camino!#REF!,"AAAAAG9fXng=")</f>
        <v>#REF!</v>
      </c>
      <c r="DR9" t="e">
        <f>AND(Camino!#REF!,"AAAAAG9fXnk=")</f>
        <v>#REF!</v>
      </c>
      <c r="DS9" t="e">
        <f>AND(Camino!#REF!,"AAAAAG9fXno=")</f>
        <v>#REF!</v>
      </c>
      <c r="DT9" t="e">
        <f>AND(Camino!#REF!,"AAAAAG9fXns=")</f>
        <v>#REF!</v>
      </c>
      <c r="DU9" t="e">
        <f>AND(Camino!E49,"AAAAAG9fXnw=")</f>
        <v>#VALUE!</v>
      </c>
      <c r="DV9">
        <f>IF(Camino!50:50,"AAAAAG9fXn0=",0)</f>
        <v>0</v>
      </c>
      <c r="DW9" t="e">
        <f>AND(Camino!A50,"AAAAAG9fXn4=")</f>
        <v>#VALUE!</v>
      </c>
      <c r="DX9" t="e">
        <f>AND(Camino!B50,"AAAAAG9fXn8=")</f>
        <v>#VALUE!</v>
      </c>
      <c r="DY9" t="e">
        <f>AND(Camino!C50,"AAAAAG9fXoA=")</f>
        <v>#VALUE!</v>
      </c>
      <c r="DZ9" t="e">
        <f>AND(Camino!D50,"AAAAAG9fXoE=")</f>
        <v>#VALUE!</v>
      </c>
      <c r="EA9" t="e">
        <f>AND(Camino!#REF!,"AAAAAG9fXoI=")</f>
        <v>#REF!</v>
      </c>
      <c r="EB9" t="e">
        <f>AND(Camino!#REF!,"AAAAAG9fXoM=")</f>
        <v>#REF!</v>
      </c>
      <c r="EC9" t="e">
        <f>AND(Camino!#REF!,"AAAAAG9fXoQ=")</f>
        <v>#REF!</v>
      </c>
      <c r="ED9" t="e">
        <f>AND(Camino!#REF!,"AAAAAG9fXoU=")</f>
        <v>#REF!</v>
      </c>
      <c r="EE9" t="e">
        <f>AND(Camino!E50,"AAAAAG9fXoY=")</f>
        <v>#VALUE!</v>
      </c>
      <c r="EF9">
        <f>IF(Camino!51:51,"AAAAAG9fXoc=",0)</f>
        <v>0</v>
      </c>
      <c r="EG9" t="e">
        <f>AND(Camino!A51,"AAAAAG9fXog=")</f>
        <v>#VALUE!</v>
      </c>
      <c r="EH9" t="e">
        <f>AND(Camino!B51,"AAAAAG9fXok=")</f>
        <v>#VALUE!</v>
      </c>
      <c r="EI9" t="e">
        <f>AND(Camino!C51,"AAAAAG9fXoo=")</f>
        <v>#VALUE!</v>
      </c>
      <c r="EJ9" t="e">
        <f>AND(Camino!D51,"AAAAAG9fXos=")</f>
        <v>#VALUE!</v>
      </c>
      <c r="EK9" t="e">
        <f>AND(Camino!#REF!,"AAAAAG9fXow=")</f>
        <v>#REF!</v>
      </c>
      <c r="EL9" t="e">
        <f>AND(Camino!#REF!,"AAAAAG9fXo0=")</f>
        <v>#REF!</v>
      </c>
      <c r="EM9" t="e">
        <f>AND(Camino!#REF!,"AAAAAG9fXo4=")</f>
        <v>#REF!</v>
      </c>
      <c r="EN9" t="e">
        <f>AND(Camino!#REF!,"AAAAAG9fXo8=")</f>
        <v>#REF!</v>
      </c>
      <c r="EO9" t="e">
        <f>AND(Camino!E51,"AAAAAG9fXpA=")</f>
        <v>#VALUE!</v>
      </c>
      <c r="EP9">
        <f>IF(Camino!52:52,"AAAAAG9fXpE=",0)</f>
        <v>0</v>
      </c>
      <c r="EQ9" t="e">
        <f>AND(Camino!A52,"AAAAAG9fXpI=")</f>
        <v>#VALUE!</v>
      </c>
      <c r="ER9" t="e">
        <f>AND(Camino!B52,"AAAAAG9fXpM=")</f>
        <v>#VALUE!</v>
      </c>
      <c r="ES9" t="e">
        <f>AND(Camino!C52,"AAAAAG9fXpQ=")</f>
        <v>#VALUE!</v>
      </c>
      <c r="ET9" t="e">
        <f>AND(Camino!D52,"AAAAAG9fXpU=")</f>
        <v>#VALUE!</v>
      </c>
      <c r="EU9" t="e">
        <f>AND(Camino!#REF!,"AAAAAG9fXpY=")</f>
        <v>#REF!</v>
      </c>
      <c r="EV9" t="e">
        <f>AND(Camino!#REF!,"AAAAAG9fXpc=")</f>
        <v>#REF!</v>
      </c>
      <c r="EW9" t="e">
        <f>AND(Camino!#REF!,"AAAAAG9fXpg=")</f>
        <v>#REF!</v>
      </c>
      <c r="EX9" t="e">
        <f>AND(Camino!#REF!,"AAAAAG9fXpk=")</f>
        <v>#REF!</v>
      </c>
      <c r="EY9" t="e">
        <f>AND(Camino!E52,"AAAAAG9fXpo=")</f>
        <v>#VALUE!</v>
      </c>
      <c r="EZ9">
        <f>IF(Camino!53:53,"AAAAAG9fXps=",0)</f>
        <v>0</v>
      </c>
      <c r="FA9" t="e">
        <f>AND(Camino!A53,"AAAAAG9fXpw=")</f>
        <v>#VALUE!</v>
      </c>
      <c r="FB9" t="e">
        <f>AND(Camino!B53,"AAAAAG9fXp0=")</f>
        <v>#VALUE!</v>
      </c>
      <c r="FC9" t="e">
        <f>AND(Camino!C53,"AAAAAG9fXp4=")</f>
        <v>#VALUE!</v>
      </c>
      <c r="FD9" t="e">
        <f>AND(Camino!D53,"AAAAAG9fXp8=")</f>
        <v>#VALUE!</v>
      </c>
      <c r="FE9" t="e">
        <f>AND(Camino!#REF!,"AAAAAG9fXqA=")</f>
        <v>#REF!</v>
      </c>
      <c r="FF9" t="e">
        <f>AND(Camino!#REF!,"AAAAAG9fXqE=")</f>
        <v>#REF!</v>
      </c>
      <c r="FG9" t="e">
        <f>AND(Camino!#REF!,"AAAAAG9fXqI=")</f>
        <v>#REF!</v>
      </c>
      <c r="FH9" t="e">
        <f>AND(Camino!#REF!,"AAAAAG9fXqM=")</f>
        <v>#REF!</v>
      </c>
      <c r="FI9" t="e">
        <f>AND(Camino!E53,"AAAAAG9fXqQ=")</f>
        <v>#VALUE!</v>
      </c>
      <c r="FJ9">
        <f>IF(Camino!54:54,"AAAAAG9fXqU=",0)</f>
        <v>0</v>
      </c>
      <c r="FK9">
        <f>IF(Camino!55:55,"AAAAAG9fXqY=",0)</f>
        <v>0</v>
      </c>
      <c r="FL9">
        <f>IF(Camino!56:56,"AAAAAG9fXqc=",0)</f>
        <v>0</v>
      </c>
      <c r="FM9" t="e">
        <f>IF(Camino!A:A,"AAAAAG9fXqg=",0)</f>
        <v>#VALUE!</v>
      </c>
      <c r="FN9" t="e">
        <f>IF(Camino!B:B,"AAAAAG9fXqk=",0)</f>
        <v>#VALUE!</v>
      </c>
      <c r="FO9">
        <f>IF(Camino!C:C,"AAAAAG9fXqo=",0)</f>
        <v>0</v>
      </c>
      <c r="FP9">
        <f>IF(Camino!D:D,"AAAAAG9fXqs=",0)</f>
        <v>0</v>
      </c>
      <c r="FQ9" t="e">
        <f>IF(Camino!#REF!,"AAAAAG9fXqw=",0)</f>
        <v>#REF!</v>
      </c>
      <c r="FR9" t="e">
        <f>IF(Camino!#REF!,"AAAAAG9fXq0=",0)</f>
        <v>#REF!</v>
      </c>
      <c r="FS9" t="e">
        <f>IF(Camino!#REF!,"AAAAAG9fXq4=",0)</f>
        <v>#REF!</v>
      </c>
      <c r="FT9" t="e">
        <f>IF(Camino!#REF!,"AAAAAG9fXq8=",0)</f>
        <v>#REF!</v>
      </c>
      <c r="FU9">
        <f>IF(Camino!E:E,"AAAAAG9fXrA=",0)</f>
        <v>0</v>
      </c>
      <c r="FV9" t="e">
        <f>IF(#REF!,"AAAAAG9fXrE=",0)</f>
        <v>#REF!</v>
      </c>
      <c r="FW9" t="e">
        <f>AND(#REF!,"AAAAAG9fXrI=")</f>
        <v>#REF!</v>
      </c>
      <c r="FX9" t="e">
        <f>AND(#REF!,"AAAAAG9fXrM=")</f>
        <v>#REF!</v>
      </c>
      <c r="FY9" t="e">
        <f>AND(#REF!,"AAAAAG9fXrQ=")</f>
        <v>#REF!</v>
      </c>
      <c r="FZ9" t="e">
        <f>AND(#REF!,"AAAAAG9fXrU=")</f>
        <v>#REF!</v>
      </c>
      <c r="GA9" t="e">
        <f>AND(#REF!,"AAAAAG9fXrY=")</f>
        <v>#REF!</v>
      </c>
      <c r="GB9" t="e">
        <f>AND(#REF!,"AAAAAG9fXrc=")</f>
        <v>#REF!</v>
      </c>
      <c r="GC9" t="e">
        <f>AND(#REF!,"AAAAAG9fXrg=")</f>
        <v>#REF!</v>
      </c>
      <c r="GD9" t="e">
        <f>AND(#REF!,"AAAAAG9fXrk=")</f>
        <v>#REF!</v>
      </c>
      <c r="GE9" t="e">
        <f>AND(#REF!,"AAAAAG9fXro=")</f>
        <v>#REF!</v>
      </c>
      <c r="GF9" t="e">
        <f>IF(#REF!,"AAAAAG9fXrs=",0)</f>
        <v>#REF!</v>
      </c>
      <c r="GG9" t="e">
        <f>AND(#REF!,"AAAAAG9fXrw=")</f>
        <v>#REF!</v>
      </c>
      <c r="GH9" t="e">
        <f>AND(#REF!,"AAAAAG9fXr0=")</f>
        <v>#REF!</v>
      </c>
      <c r="GI9" t="e">
        <f>AND(#REF!,"AAAAAG9fXr4=")</f>
        <v>#REF!</v>
      </c>
      <c r="GJ9" t="e">
        <f>AND(#REF!,"AAAAAG9fXr8=")</f>
        <v>#REF!</v>
      </c>
      <c r="GK9" t="e">
        <f>AND(#REF!,"AAAAAG9fXsA=")</f>
        <v>#REF!</v>
      </c>
      <c r="GL9" t="e">
        <f>AND(#REF!,"AAAAAG9fXsE=")</f>
        <v>#REF!</v>
      </c>
      <c r="GM9" t="e">
        <f>AND(#REF!,"AAAAAG9fXsI=")</f>
        <v>#REF!</v>
      </c>
      <c r="GN9" t="e">
        <f>AND(#REF!,"AAAAAG9fXsM=")</f>
        <v>#REF!</v>
      </c>
      <c r="GO9" t="e">
        <f>AND(#REF!,"AAAAAG9fXsQ=")</f>
        <v>#REF!</v>
      </c>
      <c r="GP9" t="e">
        <f>IF(#REF!,"AAAAAG9fXsU=",0)</f>
        <v>#REF!</v>
      </c>
      <c r="GQ9" t="e">
        <f>AND(#REF!,"AAAAAG9fXsY=")</f>
        <v>#REF!</v>
      </c>
      <c r="GR9" t="e">
        <f>AND(#REF!,"AAAAAG9fXsc=")</f>
        <v>#REF!</v>
      </c>
      <c r="GS9" t="e">
        <f>AND(#REF!,"AAAAAG9fXsg=")</f>
        <v>#REF!</v>
      </c>
      <c r="GT9" t="e">
        <f>AND(#REF!,"AAAAAG9fXsk=")</f>
        <v>#REF!</v>
      </c>
      <c r="GU9" t="e">
        <f>AND(#REF!,"AAAAAG9fXso=")</f>
        <v>#REF!</v>
      </c>
      <c r="GV9" t="e">
        <f>AND(#REF!,"AAAAAG9fXss=")</f>
        <v>#REF!</v>
      </c>
      <c r="GW9" t="e">
        <f>AND(#REF!,"AAAAAG9fXsw=")</f>
        <v>#REF!</v>
      </c>
      <c r="GX9" t="e">
        <f>AND(#REF!,"AAAAAG9fXs0=")</f>
        <v>#REF!</v>
      </c>
      <c r="GY9" t="e">
        <f>AND(#REF!,"AAAAAG9fXs4=")</f>
        <v>#REF!</v>
      </c>
      <c r="GZ9" t="e">
        <f>IF(#REF!,"AAAAAG9fXs8=",0)</f>
        <v>#REF!</v>
      </c>
      <c r="HA9" t="e">
        <f>AND(#REF!,"AAAAAG9fXtA=")</f>
        <v>#REF!</v>
      </c>
      <c r="HB9" t="e">
        <f>AND(#REF!,"AAAAAG9fXtE=")</f>
        <v>#REF!</v>
      </c>
      <c r="HC9" t="e">
        <f>AND(#REF!,"AAAAAG9fXtI=")</f>
        <v>#REF!</v>
      </c>
      <c r="HD9" t="e">
        <f>AND(#REF!,"AAAAAG9fXtM=")</f>
        <v>#REF!</v>
      </c>
      <c r="HE9" t="e">
        <f>AND(#REF!,"AAAAAG9fXtQ=")</f>
        <v>#REF!</v>
      </c>
      <c r="HF9" t="e">
        <f>AND(#REF!,"AAAAAG9fXtU=")</f>
        <v>#REF!</v>
      </c>
      <c r="HG9" t="e">
        <f>AND(#REF!,"AAAAAG9fXtY=")</f>
        <v>#REF!</v>
      </c>
      <c r="HH9" t="e">
        <f>AND(#REF!,"AAAAAG9fXtc=")</f>
        <v>#REF!</v>
      </c>
      <c r="HI9" t="e">
        <f>AND(#REF!,"AAAAAG9fXtg=")</f>
        <v>#REF!</v>
      </c>
      <c r="HJ9" t="e">
        <f>IF(#REF!,"AAAAAG9fXtk=",0)</f>
        <v>#REF!</v>
      </c>
      <c r="HK9" t="e">
        <f>AND(#REF!,"AAAAAG9fXto=")</f>
        <v>#REF!</v>
      </c>
      <c r="HL9" t="e">
        <f>AND(#REF!,"AAAAAG9fXts=")</f>
        <v>#REF!</v>
      </c>
      <c r="HM9" t="e">
        <f>AND(#REF!,"AAAAAG9fXtw=")</f>
        <v>#REF!</v>
      </c>
      <c r="HN9" t="e">
        <f>AND(#REF!,"AAAAAG9fXt0=")</f>
        <v>#REF!</v>
      </c>
      <c r="HO9" t="e">
        <f>AND(#REF!,"AAAAAG9fXt4=")</f>
        <v>#REF!</v>
      </c>
      <c r="HP9" t="e">
        <f>AND(#REF!,"AAAAAG9fXt8=")</f>
        <v>#REF!</v>
      </c>
      <c r="HQ9" t="e">
        <f>AND(#REF!,"AAAAAG9fXuA=")</f>
        <v>#REF!</v>
      </c>
      <c r="HR9" t="e">
        <f>AND(#REF!,"AAAAAG9fXuE=")</f>
        <v>#REF!</v>
      </c>
      <c r="HS9" t="e">
        <f>AND(#REF!,"AAAAAG9fXuI=")</f>
        <v>#REF!</v>
      </c>
      <c r="HT9" t="e">
        <f>IF(#REF!,"AAAAAG9fXuM=",0)</f>
        <v>#REF!</v>
      </c>
      <c r="HU9" t="e">
        <f>AND(#REF!,"AAAAAG9fXuQ=")</f>
        <v>#REF!</v>
      </c>
      <c r="HV9" t="e">
        <f>AND(#REF!,"AAAAAG9fXuU=")</f>
        <v>#REF!</v>
      </c>
      <c r="HW9" t="e">
        <f>AND(#REF!,"AAAAAG9fXuY=")</f>
        <v>#REF!</v>
      </c>
      <c r="HX9" t="e">
        <f>AND(#REF!,"AAAAAG9fXuc=")</f>
        <v>#REF!</v>
      </c>
      <c r="HY9" t="e">
        <f>AND(#REF!,"AAAAAG9fXug=")</f>
        <v>#REF!</v>
      </c>
      <c r="HZ9" t="e">
        <f>AND(#REF!,"AAAAAG9fXuk=")</f>
        <v>#REF!</v>
      </c>
      <c r="IA9" t="e">
        <f>AND(#REF!,"AAAAAG9fXuo=")</f>
        <v>#REF!</v>
      </c>
      <c r="IB9" t="e">
        <f>AND(#REF!,"AAAAAG9fXus=")</f>
        <v>#REF!</v>
      </c>
      <c r="IC9" t="e">
        <f>AND(#REF!,"AAAAAG9fXuw=")</f>
        <v>#REF!</v>
      </c>
      <c r="ID9" t="e">
        <f>IF(#REF!,"AAAAAG9fXu0=",0)</f>
        <v>#REF!</v>
      </c>
      <c r="IE9" t="e">
        <f>AND(#REF!,"AAAAAG9fXu4=")</f>
        <v>#REF!</v>
      </c>
      <c r="IF9" t="e">
        <f>AND(#REF!,"AAAAAG9fXu8=")</f>
        <v>#REF!</v>
      </c>
      <c r="IG9" t="e">
        <f>AND(#REF!,"AAAAAG9fXvA=")</f>
        <v>#REF!</v>
      </c>
      <c r="IH9" t="e">
        <f>AND(#REF!,"AAAAAG9fXvE=")</f>
        <v>#REF!</v>
      </c>
      <c r="II9" t="e">
        <f>AND(#REF!,"AAAAAG9fXvI=")</f>
        <v>#REF!</v>
      </c>
      <c r="IJ9" t="e">
        <f>AND(#REF!,"AAAAAG9fXvM=")</f>
        <v>#REF!</v>
      </c>
      <c r="IK9" t="e">
        <f>AND(#REF!,"AAAAAG9fXvQ=")</f>
        <v>#REF!</v>
      </c>
      <c r="IL9" t="e">
        <f>AND(#REF!,"AAAAAG9fXvU=")</f>
        <v>#REF!</v>
      </c>
      <c r="IM9" t="e">
        <f>AND(#REF!,"AAAAAG9fXvY=")</f>
        <v>#REF!</v>
      </c>
      <c r="IN9" t="e">
        <f>IF(#REF!,"AAAAAG9fXvc=",0)</f>
        <v>#REF!</v>
      </c>
      <c r="IO9" t="e">
        <f>AND(#REF!,"AAAAAG9fXvg=")</f>
        <v>#REF!</v>
      </c>
      <c r="IP9" t="e">
        <f>AND(#REF!,"AAAAAG9fXvk=")</f>
        <v>#REF!</v>
      </c>
      <c r="IQ9" t="e">
        <f>AND(#REF!,"AAAAAG9fXvo=")</f>
        <v>#REF!</v>
      </c>
      <c r="IR9" t="e">
        <f>AND(#REF!,"AAAAAG9fXvs=")</f>
        <v>#REF!</v>
      </c>
      <c r="IS9" t="e">
        <f>AND(#REF!,"AAAAAG9fXvw=")</f>
        <v>#REF!</v>
      </c>
      <c r="IT9" t="e">
        <f>AND(#REF!,"AAAAAG9fXv0=")</f>
        <v>#REF!</v>
      </c>
      <c r="IU9" t="e">
        <f>AND(#REF!,"AAAAAG9fXv4=")</f>
        <v>#REF!</v>
      </c>
      <c r="IV9" t="e">
        <f>AND(#REF!,"AAAAAG9fXv8=")</f>
        <v>#REF!</v>
      </c>
    </row>
    <row r="10" spans="1:256" ht="12.75">
      <c r="A10" t="e">
        <f>AND(#REF!,"AAAAAHWT/wA=")</f>
        <v>#REF!</v>
      </c>
      <c r="B10" t="e">
        <f>IF(#REF!,"AAAAAHWT/wE=",0)</f>
        <v>#REF!</v>
      </c>
      <c r="C10" t="e">
        <f>AND(#REF!,"AAAAAHWT/wI=")</f>
        <v>#REF!</v>
      </c>
      <c r="D10" t="e">
        <f>AND(#REF!,"AAAAAHWT/wM=")</f>
        <v>#REF!</v>
      </c>
      <c r="E10" t="e">
        <f>AND(#REF!,"AAAAAHWT/wQ=")</f>
        <v>#REF!</v>
      </c>
      <c r="F10" t="e">
        <f>AND(#REF!,"AAAAAHWT/wU=")</f>
        <v>#REF!</v>
      </c>
      <c r="G10" t="e">
        <f>AND(#REF!,"AAAAAHWT/wY=")</f>
        <v>#REF!</v>
      </c>
      <c r="H10" t="e">
        <f>AND(#REF!,"AAAAAHWT/wc=")</f>
        <v>#REF!</v>
      </c>
      <c r="I10" t="e">
        <f>AND(#REF!,"AAAAAHWT/wg=")</f>
        <v>#REF!</v>
      </c>
      <c r="J10" t="e">
        <f>AND(#REF!,"AAAAAHWT/wk=")</f>
        <v>#REF!</v>
      </c>
      <c r="K10" t="e">
        <f>AND(#REF!,"AAAAAHWT/wo=")</f>
        <v>#REF!</v>
      </c>
      <c r="L10" t="e">
        <f>IF(#REF!,"AAAAAHWT/ws=",0)</f>
        <v>#REF!</v>
      </c>
      <c r="M10" t="e">
        <f>AND(#REF!,"AAAAAHWT/ww=")</f>
        <v>#REF!</v>
      </c>
      <c r="N10" t="e">
        <f>AND(#REF!,"AAAAAHWT/w0=")</f>
        <v>#REF!</v>
      </c>
      <c r="O10" t="e">
        <f>AND(#REF!,"AAAAAHWT/w4=")</f>
        <v>#REF!</v>
      </c>
      <c r="P10" t="e">
        <f>AND(#REF!,"AAAAAHWT/w8=")</f>
        <v>#REF!</v>
      </c>
      <c r="Q10" t="e">
        <f>AND(#REF!,"AAAAAHWT/xA=")</f>
        <v>#REF!</v>
      </c>
      <c r="R10" t="e">
        <f>AND(#REF!,"AAAAAHWT/xE=")</f>
        <v>#REF!</v>
      </c>
      <c r="S10" t="e">
        <f>AND(#REF!,"AAAAAHWT/xI=")</f>
        <v>#REF!</v>
      </c>
      <c r="T10" t="e">
        <f>AND(#REF!,"AAAAAHWT/xM=")</f>
        <v>#REF!</v>
      </c>
      <c r="U10" t="e">
        <f>AND(#REF!,"AAAAAHWT/xQ=")</f>
        <v>#REF!</v>
      </c>
      <c r="V10" t="e">
        <f>IF(#REF!,"AAAAAHWT/xU=",0)</f>
        <v>#REF!</v>
      </c>
      <c r="W10" t="e">
        <f>AND(#REF!,"AAAAAHWT/xY=")</f>
        <v>#REF!</v>
      </c>
      <c r="X10" t="e">
        <f>AND(#REF!,"AAAAAHWT/xc=")</f>
        <v>#REF!</v>
      </c>
      <c r="Y10" t="e">
        <f>AND(#REF!,"AAAAAHWT/xg=")</f>
        <v>#REF!</v>
      </c>
      <c r="Z10" t="e">
        <f>AND(#REF!,"AAAAAHWT/xk=")</f>
        <v>#REF!</v>
      </c>
      <c r="AA10" t="e">
        <f>AND(#REF!,"AAAAAHWT/xo=")</f>
        <v>#REF!</v>
      </c>
      <c r="AB10" t="e">
        <f>AND(#REF!,"AAAAAHWT/xs=")</f>
        <v>#REF!</v>
      </c>
      <c r="AC10" t="e">
        <f>AND(#REF!,"AAAAAHWT/xw=")</f>
        <v>#REF!</v>
      </c>
      <c r="AD10" t="e">
        <f>AND(#REF!,"AAAAAHWT/x0=")</f>
        <v>#REF!</v>
      </c>
      <c r="AE10" t="e">
        <f>AND(#REF!,"AAAAAHWT/x4=")</f>
        <v>#REF!</v>
      </c>
      <c r="AF10" t="e">
        <f>IF(#REF!,"AAAAAHWT/x8=",0)</f>
        <v>#REF!</v>
      </c>
      <c r="AG10" t="e">
        <f>AND(#REF!,"AAAAAHWT/yA=")</f>
        <v>#REF!</v>
      </c>
      <c r="AH10" t="e">
        <f>AND(#REF!,"AAAAAHWT/yE=")</f>
        <v>#REF!</v>
      </c>
      <c r="AI10" t="e">
        <f>AND(#REF!,"AAAAAHWT/yI=")</f>
        <v>#REF!</v>
      </c>
      <c r="AJ10" t="e">
        <f>AND(#REF!,"AAAAAHWT/yM=")</f>
        <v>#REF!</v>
      </c>
      <c r="AK10" t="e">
        <f>AND(#REF!,"AAAAAHWT/yQ=")</f>
        <v>#REF!</v>
      </c>
      <c r="AL10" t="e">
        <f>AND(#REF!,"AAAAAHWT/yU=")</f>
        <v>#REF!</v>
      </c>
      <c r="AM10" t="e">
        <f>AND(#REF!,"AAAAAHWT/yY=")</f>
        <v>#REF!</v>
      </c>
      <c r="AN10" t="e">
        <f>AND(#REF!,"AAAAAHWT/yc=")</f>
        <v>#REF!</v>
      </c>
      <c r="AO10" t="e">
        <f>AND(#REF!,"AAAAAHWT/yg=")</f>
        <v>#REF!</v>
      </c>
      <c r="AP10" t="e">
        <f>IF(#REF!,"AAAAAHWT/yk=",0)</f>
        <v>#REF!</v>
      </c>
      <c r="AQ10" t="e">
        <f>AND(#REF!,"AAAAAHWT/yo=")</f>
        <v>#REF!</v>
      </c>
      <c r="AR10" t="e">
        <f>AND(#REF!,"AAAAAHWT/ys=")</f>
        <v>#REF!</v>
      </c>
      <c r="AS10" t="e">
        <f>AND(#REF!,"AAAAAHWT/yw=")</f>
        <v>#REF!</v>
      </c>
      <c r="AT10" t="e">
        <f>AND(#REF!,"AAAAAHWT/y0=")</f>
        <v>#REF!</v>
      </c>
      <c r="AU10" t="e">
        <f>AND(#REF!,"AAAAAHWT/y4=")</f>
        <v>#REF!</v>
      </c>
      <c r="AV10" t="e">
        <f>AND(#REF!,"AAAAAHWT/y8=")</f>
        <v>#REF!</v>
      </c>
      <c r="AW10" t="e">
        <f>AND(#REF!,"AAAAAHWT/zA=")</f>
        <v>#REF!</v>
      </c>
      <c r="AX10" t="e">
        <f>AND(#REF!,"AAAAAHWT/zE=")</f>
        <v>#REF!</v>
      </c>
      <c r="AY10" t="e">
        <f>AND(#REF!,"AAAAAHWT/zI=")</f>
        <v>#REF!</v>
      </c>
      <c r="AZ10" t="e">
        <f>IF(#REF!,"AAAAAHWT/zM=",0)</f>
        <v>#REF!</v>
      </c>
      <c r="BA10" t="e">
        <f>AND(#REF!,"AAAAAHWT/zQ=")</f>
        <v>#REF!</v>
      </c>
      <c r="BB10" t="e">
        <f>AND(#REF!,"AAAAAHWT/zU=")</f>
        <v>#REF!</v>
      </c>
      <c r="BC10" t="e">
        <f>AND(#REF!,"AAAAAHWT/zY=")</f>
        <v>#REF!</v>
      </c>
      <c r="BD10" t="e">
        <f>AND(#REF!,"AAAAAHWT/zc=")</f>
        <v>#REF!</v>
      </c>
      <c r="BE10" t="e">
        <f>AND(#REF!,"AAAAAHWT/zg=")</f>
        <v>#REF!</v>
      </c>
      <c r="BF10" t="e">
        <f>AND(#REF!,"AAAAAHWT/zk=")</f>
        <v>#REF!</v>
      </c>
      <c r="BG10" t="e">
        <f>AND(#REF!,"AAAAAHWT/zo=")</f>
        <v>#REF!</v>
      </c>
      <c r="BH10" t="e">
        <f>AND(#REF!,"AAAAAHWT/zs=")</f>
        <v>#REF!</v>
      </c>
      <c r="BI10" t="e">
        <f>AND(#REF!,"AAAAAHWT/zw=")</f>
        <v>#REF!</v>
      </c>
      <c r="BJ10" t="e">
        <f>IF(#REF!,"AAAAAHWT/z0=",0)</f>
        <v>#REF!</v>
      </c>
      <c r="BK10" t="e">
        <f>AND(#REF!,"AAAAAHWT/z4=")</f>
        <v>#REF!</v>
      </c>
      <c r="BL10" t="e">
        <f>AND(#REF!,"AAAAAHWT/z8=")</f>
        <v>#REF!</v>
      </c>
      <c r="BM10" t="e">
        <f>AND(#REF!,"AAAAAHWT/0A=")</f>
        <v>#REF!</v>
      </c>
      <c r="BN10" t="e">
        <f>AND(#REF!,"AAAAAHWT/0E=")</f>
        <v>#REF!</v>
      </c>
      <c r="BO10" t="e">
        <f>AND(#REF!,"AAAAAHWT/0I=")</f>
        <v>#REF!</v>
      </c>
      <c r="BP10" t="e">
        <f>AND(#REF!,"AAAAAHWT/0M=")</f>
        <v>#REF!</v>
      </c>
      <c r="BQ10" t="e">
        <f>AND(#REF!,"AAAAAHWT/0Q=")</f>
        <v>#REF!</v>
      </c>
      <c r="BR10" t="e">
        <f>AND(#REF!,"AAAAAHWT/0U=")</f>
        <v>#REF!</v>
      </c>
      <c r="BS10" t="e">
        <f>AND(#REF!,"AAAAAHWT/0Y=")</f>
        <v>#REF!</v>
      </c>
      <c r="BT10" t="e">
        <f>IF(#REF!,"AAAAAHWT/0c=",0)</f>
        <v>#REF!</v>
      </c>
      <c r="BU10" t="e">
        <f>AND(#REF!,"AAAAAHWT/0g=")</f>
        <v>#REF!</v>
      </c>
      <c r="BV10" t="e">
        <f>AND(#REF!,"AAAAAHWT/0k=")</f>
        <v>#REF!</v>
      </c>
      <c r="BW10" t="e">
        <f>AND(#REF!,"AAAAAHWT/0o=")</f>
        <v>#REF!</v>
      </c>
      <c r="BX10" t="e">
        <f>AND(#REF!,"AAAAAHWT/0s=")</f>
        <v>#REF!</v>
      </c>
      <c r="BY10" t="e">
        <f>AND(#REF!,"AAAAAHWT/0w=")</f>
        <v>#REF!</v>
      </c>
      <c r="BZ10" t="e">
        <f>AND(#REF!,"AAAAAHWT/00=")</f>
        <v>#REF!</v>
      </c>
      <c r="CA10" t="e">
        <f>AND(#REF!,"AAAAAHWT/04=")</f>
        <v>#REF!</v>
      </c>
      <c r="CB10" t="e">
        <f>AND(#REF!,"AAAAAHWT/08=")</f>
        <v>#REF!</v>
      </c>
      <c r="CC10" t="e">
        <f>AND(#REF!,"AAAAAHWT/1A=")</f>
        <v>#REF!</v>
      </c>
      <c r="CD10" t="e">
        <f>IF(#REF!,"AAAAAHWT/1E=",0)</f>
        <v>#REF!</v>
      </c>
      <c r="CE10" t="e">
        <f>AND(#REF!,"AAAAAHWT/1I=")</f>
        <v>#REF!</v>
      </c>
      <c r="CF10" t="e">
        <f>AND(#REF!,"AAAAAHWT/1M=")</f>
        <v>#REF!</v>
      </c>
      <c r="CG10" t="e">
        <f>AND(#REF!,"AAAAAHWT/1Q=")</f>
        <v>#REF!</v>
      </c>
      <c r="CH10" t="e">
        <f>AND(#REF!,"AAAAAHWT/1U=")</f>
        <v>#REF!</v>
      </c>
      <c r="CI10" t="e">
        <f>AND(#REF!,"AAAAAHWT/1Y=")</f>
        <v>#REF!</v>
      </c>
      <c r="CJ10" t="e">
        <f>AND(#REF!,"AAAAAHWT/1c=")</f>
        <v>#REF!</v>
      </c>
      <c r="CK10" t="e">
        <f>AND(#REF!,"AAAAAHWT/1g=")</f>
        <v>#REF!</v>
      </c>
      <c r="CL10" t="e">
        <f>AND(#REF!,"AAAAAHWT/1k=")</f>
        <v>#REF!</v>
      </c>
      <c r="CM10" t="e">
        <f>AND(#REF!,"AAAAAHWT/1o=")</f>
        <v>#REF!</v>
      </c>
      <c r="CN10" t="e">
        <f>IF(#REF!,"AAAAAHWT/1s=",0)</f>
        <v>#REF!</v>
      </c>
      <c r="CO10" t="e">
        <f>AND(#REF!,"AAAAAHWT/1w=")</f>
        <v>#REF!</v>
      </c>
      <c r="CP10" t="e">
        <f>AND(#REF!,"AAAAAHWT/10=")</f>
        <v>#REF!</v>
      </c>
      <c r="CQ10" t="e">
        <f>AND(#REF!,"AAAAAHWT/14=")</f>
        <v>#REF!</v>
      </c>
      <c r="CR10" t="e">
        <f>AND(#REF!,"AAAAAHWT/18=")</f>
        <v>#REF!</v>
      </c>
      <c r="CS10" t="e">
        <f>AND(#REF!,"AAAAAHWT/2A=")</f>
        <v>#REF!</v>
      </c>
      <c r="CT10" t="e">
        <f>AND(#REF!,"AAAAAHWT/2E=")</f>
        <v>#REF!</v>
      </c>
      <c r="CU10" t="e">
        <f>AND(#REF!,"AAAAAHWT/2I=")</f>
        <v>#REF!</v>
      </c>
      <c r="CV10" t="e">
        <f>AND(#REF!,"AAAAAHWT/2M=")</f>
        <v>#REF!</v>
      </c>
      <c r="CW10" t="e">
        <f>AND(#REF!,"AAAAAHWT/2Q=")</f>
        <v>#REF!</v>
      </c>
      <c r="CX10" t="e">
        <f>IF(#REF!,"AAAAAHWT/2U=",0)</f>
        <v>#REF!</v>
      </c>
      <c r="CY10" t="e">
        <f>AND(#REF!,"AAAAAHWT/2Y=")</f>
        <v>#REF!</v>
      </c>
      <c r="CZ10" t="e">
        <f>AND(#REF!,"AAAAAHWT/2c=")</f>
        <v>#REF!</v>
      </c>
      <c r="DA10" t="e">
        <f>AND(#REF!,"AAAAAHWT/2g=")</f>
        <v>#REF!</v>
      </c>
      <c r="DB10" t="e">
        <f>AND(#REF!,"AAAAAHWT/2k=")</f>
        <v>#REF!</v>
      </c>
      <c r="DC10" t="e">
        <f>AND(#REF!,"AAAAAHWT/2o=")</f>
        <v>#REF!</v>
      </c>
      <c r="DD10" t="e">
        <f>AND(#REF!,"AAAAAHWT/2s=")</f>
        <v>#REF!</v>
      </c>
      <c r="DE10" t="e">
        <f>AND(#REF!,"AAAAAHWT/2w=")</f>
        <v>#REF!</v>
      </c>
      <c r="DF10" t="e">
        <f>AND(#REF!,"AAAAAHWT/20=")</f>
        <v>#REF!</v>
      </c>
      <c r="DG10" t="e">
        <f>AND(#REF!,"AAAAAHWT/24=")</f>
        <v>#REF!</v>
      </c>
      <c r="DH10" t="e">
        <f>IF(#REF!,"AAAAAHWT/28=",0)</f>
        <v>#REF!</v>
      </c>
      <c r="DI10" t="e">
        <f>IF(#REF!,"AAAAAHWT/3A=",0)</f>
        <v>#REF!</v>
      </c>
      <c r="DJ10" t="e">
        <f>IF(#REF!,"AAAAAHWT/3E=",0)</f>
        <v>#REF!</v>
      </c>
      <c r="DK10" t="e">
        <f>IF(#REF!,"AAAAAHWT/3I=",0)</f>
        <v>#REF!</v>
      </c>
      <c r="DL10" t="e">
        <f>IF(#REF!,"AAAAAHWT/3M=",0)</f>
        <v>#REF!</v>
      </c>
      <c r="DM10" t="e">
        <f>IF(#REF!,"AAAAAHWT/3Q=",0)</f>
        <v>#REF!</v>
      </c>
      <c r="DN10" t="e">
        <f>IF(#REF!,"AAAAAHWT/3U=",0)</f>
        <v>#REF!</v>
      </c>
      <c r="DO10" t="e">
        <f>IF(#REF!,"AAAAAHWT/3Y=",0)</f>
        <v>#REF!</v>
      </c>
      <c r="DP10" t="e">
        <f>IF(#REF!,"AAAAAHWT/3c=",0)</f>
        <v>#REF!</v>
      </c>
      <c r="DQ10" t="e">
        <f>IF(#REF!,"AAAAAHWT/3g=",0)</f>
        <v>#REF!</v>
      </c>
      <c r="DR10" t="e">
        <f>IF(#REF!,"AAAAAHWT/3k=",0)</f>
        <v>#REF!</v>
      </c>
      <c r="DS10" t="e">
        <f>IF(#REF!,"AAAAAHWT/3o=",0)</f>
        <v>#REF!</v>
      </c>
      <c r="DT10" t="e">
        <f>IF(#REF!,"AAAAAHWT/3s=",0)</f>
        <v>#REF!</v>
      </c>
      <c r="DU10" t="e">
        <f>IF(#REF!,"AAAAAHWT/3w=",0)</f>
        <v>#REF!</v>
      </c>
      <c r="DV10" t="e">
        <f>AND(#REF!,"AAAAAHWT/30=")</f>
        <v>#REF!</v>
      </c>
      <c r="DW10" t="e">
        <f>AND(#REF!,"AAAAAHWT/34=")</f>
        <v>#REF!</v>
      </c>
      <c r="DX10" t="e">
        <f>AND(#REF!,"AAAAAHWT/38=")</f>
        <v>#REF!</v>
      </c>
      <c r="DY10" t="e">
        <f>AND(#REF!,"AAAAAHWT/4A=")</f>
        <v>#REF!</v>
      </c>
      <c r="DZ10" t="e">
        <f>AND(#REF!,"AAAAAHWT/4E=")</f>
        <v>#REF!</v>
      </c>
      <c r="EA10" t="e">
        <f>AND(#REF!,"AAAAAHWT/4I=")</f>
        <v>#REF!</v>
      </c>
      <c r="EB10" t="e">
        <f>AND(#REF!,"AAAAAHWT/4M=")</f>
        <v>#REF!</v>
      </c>
      <c r="EC10" t="e">
        <f>AND(#REF!,"AAAAAHWT/4Q=")</f>
        <v>#REF!</v>
      </c>
      <c r="ED10" t="e">
        <f>AND(#REF!,"AAAAAHWT/4U=")</f>
        <v>#REF!</v>
      </c>
      <c r="EE10" t="e">
        <f>IF(#REF!,"AAAAAHWT/4Y=",0)</f>
        <v>#REF!</v>
      </c>
      <c r="EF10" t="e">
        <f>AND(#REF!,"AAAAAHWT/4c=")</f>
        <v>#REF!</v>
      </c>
      <c r="EG10" t="e">
        <f>AND(#REF!,"AAAAAHWT/4g=")</f>
        <v>#REF!</v>
      </c>
      <c r="EH10" t="e">
        <f>AND(#REF!,"AAAAAHWT/4k=")</f>
        <v>#REF!</v>
      </c>
      <c r="EI10" t="e">
        <f>AND(#REF!,"AAAAAHWT/4o=")</f>
        <v>#REF!</v>
      </c>
      <c r="EJ10" t="e">
        <f>AND(#REF!,"AAAAAHWT/4s=")</f>
        <v>#REF!</v>
      </c>
      <c r="EK10" t="e">
        <f>AND(#REF!,"AAAAAHWT/4w=")</f>
        <v>#REF!</v>
      </c>
      <c r="EL10" t="e">
        <f>AND(#REF!,"AAAAAHWT/40=")</f>
        <v>#REF!</v>
      </c>
      <c r="EM10" t="e">
        <f>AND(#REF!,"AAAAAHWT/44=")</f>
        <v>#REF!</v>
      </c>
      <c r="EN10" t="e">
        <f>AND(#REF!,"AAAAAHWT/48=")</f>
        <v>#REF!</v>
      </c>
      <c r="EO10" t="e">
        <f>IF(#REF!,"AAAAAHWT/5A=",0)</f>
        <v>#REF!</v>
      </c>
      <c r="EP10" t="e">
        <f>AND(#REF!,"AAAAAHWT/5E=")</f>
        <v>#REF!</v>
      </c>
      <c r="EQ10" t="e">
        <f>AND(#REF!,"AAAAAHWT/5I=")</f>
        <v>#REF!</v>
      </c>
      <c r="ER10" t="e">
        <f>AND(#REF!,"AAAAAHWT/5M=")</f>
        <v>#REF!</v>
      </c>
      <c r="ES10" t="e">
        <f>AND(#REF!,"AAAAAHWT/5Q=")</f>
        <v>#REF!</v>
      </c>
      <c r="ET10" t="e">
        <f>AND(#REF!,"AAAAAHWT/5U=")</f>
        <v>#REF!</v>
      </c>
      <c r="EU10" t="e">
        <f>AND(#REF!,"AAAAAHWT/5Y=")</f>
        <v>#REF!</v>
      </c>
      <c r="EV10" t="e">
        <f>AND(#REF!,"AAAAAHWT/5c=")</f>
        <v>#REF!</v>
      </c>
      <c r="EW10" t="e">
        <f>AND(#REF!,"AAAAAHWT/5g=")</f>
        <v>#REF!</v>
      </c>
      <c r="EX10" t="e">
        <f>AND(#REF!,"AAAAAHWT/5k=")</f>
        <v>#REF!</v>
      </c>
      <c r="EY10" t="e">
        <f>IF(#REF!,"AAAAAHWT/5o=",0)</f>
        <v>#REF!</v>
      </c>
      <c r="EZ10" t="e">
        <f>AND(#REF!,"AAAAAHWT/5s=")</f>
        <v>#REF!</v>
      </c>
      <c r="FA10" t="e">
        <f>AND(#REF!,"AAAAAHWT/5w=")</f>
        <v>#REF!</v>
      </c>
      <c r="FB10" t="e">
        <f>AND(#REF!,"AAAAAHWT/50=")</f>
        <v>#REF!</v>
      </c>
      <c r="FC10" t="e">
        <f>AND(#REF!,"AAAAAHWT/54=")</f>
        <v>#REF!</v>
      </c>
      <c r="FD10" t="e">
        <f>AND(#REF!,"AAAAAHWT/58=")</f>
        <v>#REF!</v>
      </c>
      <c r="FE10" t="e">
        <f>AND(#REF!,"AAAAAHWT/6A=")</f>
        <v>#REF!</v>
      </c>
      <c r="FF10" t="e">
        <f>AND(#REF!,"AAAAAHWT/6E=")</f>
        <v>#REF!</v>
      </c>
      <c r="FG10" t="e">
        <f>AND(#REF!,"AAAAAHWT/6I=")</f>
        <v>#REF!</v>
      </c>
      <c r="FH10" t="e">
        <f>AND(#REF!,"AAAAAHWT/6M=")</f>
        <v>#REF!</v>
      </c>
      <c r="FI10" t="e">
        <f>IF(#REF!,"AAAAAHWT/6Q=",0)</f>
        <v>#REF!</v>
      </c>
      <c r="FJ10" t="e">
        <f>AND(#REF!,"AAAAAHWT/6U=")</f>
        <v>#REF!</v>
      </c>
      <c r="FK10" t="e">
        <f>AND(#REF!,"AAAAAHWT/6Y=")</f>
        <v>#REF!</v>
      </c>
      <c r="FL10" t="e">
        <f>AND(#REF!,"AAAAAHWT/6c=")</f>
        <v>#REF!</v>
      </c>
      <c r="FM10" t="e">
        <f>AND(#REF!,"AAAAAHWT/6g=")</f>
        <v>#REF!</v>
      </c>
      <c r="FN10" t="e">
        <f>AND(#REF!,"AAAAAHWT/6k=")</f>
        <v>#REF!</v>
      </c>
      <c r="FO10" t="e">
        <f>AND(#REF!,"AAAAAHWT/6o=")</f>
        <v>#REF!</v>
      </c>
      <c r="FP10" t="e">
        <f>AND(#REF!,"AAAAAHWT/6s=")</f>
        <v>#REF!</v>
      </c>
      <c r="FQ10" t="e">
        <f>AND(#REF!,"AAAAAHWT/6w=")</f>
        <v>#REF!</v>
      </c>
      <c r="FR10" t="e">
        <f>AND(#REF!,"AAAAAHWT/60=")</f>
        <v>#REF!</v>
      </c>
      <c r="FS10" t="e">
        <f>IF(#REF!,"AAAAAHWT/64=",0)</f>
        <v>#REF!</v>
      </c>
      <c r="FT10" t="e">
        <f>AND(#REF!,"AAAAAHWT/68=")</f>
        <v>#REF!</v>
      </c>
      <c r="FU10" t="e">
        <f>AND(#REF!,"AAAAAHWT/7A=")</f>
        <v>#REF!</v>
      </c>
      <c r="FV10" t="e">
        <f>AND(#REF!,"AAAAAHWT/7E=")</f>
        <v>#REF!</v>
      </c>
      <c r="FW10" t="e">
        <f>AND(#REF!,"AAAAAHWT/7I=")</f>
        <v>#REF!</v>
      </c>
      <c r="FX10" t="e">
        <f>AND(#REF!,"AAAAAHWT/7M=")</f>
        <v>#REF!</v>
      </c>
      <c r="FY10" t="e">
        <f>AND(#REF!,"AAAAAHWT/7Q=")</f>
        <v>#REF!</v>
      </c>
      <c r="FZ10" t="e">
        <f>AND(#REF!,"AAAAAHWT/7U=")</f>
        <v>#REF!</v>
      </c>
      <c r="GA10" t="e">
        <f>AND(#REF!,"AAAAAHWT/7Y=")</f>
        <v>#REF!</v>
      </c>
      <c r="GB10" t="e">
        <f>AND(#REF!,"AAAAAHWT/7c=")</f>
        <v>#REF!</v>
      </c>
      <c r="GC10" t="e">
        <f>IF(#REF!,"AAAAAHWT/7g=",0)</f>
        <v>#REF!</v>
      </c>
      <c r="GD10" t="e">
        <f>AND(#REF!,"AAAAAHWT/7k=")</f>
        <v>#REF!</v>
      </c>
      <c r="GE10" t="e">
        <f>AND(#REF!,"AAAAAHWT/7o=")</f>
        <v>#REF!</v>
      </c>
      <c r="GF10" t="e">
        <f>AND(#REF!,"AAAAAHWT/7s=")</f>
        <v>#REF!</v>
      </c>
      <c r="GG10" t="e">
        <f>AND(#REF!,"AAAAAHWT/7w=")</f>
        <v>#REF!</v>
      </c>
      <c r="GH10" t="e">
        <f>AND(#REF!,"AAAAAHWT/70=")</f>
        <v>#REF!</v>
      </c>
      <c r="GI10" t="e">
        <f>AND(#REF!,"AAAAAHWT/74=")</f>
        <v>#REF!</v>
      </c>
      <c r="GJ10" t="e">
        <f>AND(#REF!,"AAAAAHWT/78=")</f>
        <v>#REF!</v>
      </c>
      <c r="GK10" t="e">
        <f>AND(#REF!,"AAAAAHWT/8A=")</f>
        <v>#REF!</v>
      </c>
      <c r="GL10" t="e">
        <f>AND(#REF!,"AAAAAHWT/8E=")</f>
        <v>#REF!</v>
      </c>
      <c r="GM10" t="e">
        <f>IF(#REF!,"AAAAAHWT/8I=",0)</f>
        <v>#REF!</v>
      </c>
      <c r="GN10" t="e">
        <f>AND(#REF!,"AAAAAHWT/8M=")</f>
        <v>#REF!</v>
      </c>
      <c r="GO10" t="e">
        <f>AND(#REF!,"AAAAAHWT/8Q=")</f>
        <v>#REF!</v>
      </c>
      <c r="GP10" t="e">
        <f>AND(#REF!,"AAAAAHWT/8U=")</f>
        <v>#REF!</v>
      </c>
      <c r="GQ10" t="e">
        <f>AND(#REF!,"AAAAAHWT/8Y=")</f>
        <v>#REF!</v>
      </c>
      <c r="GR10" t="e">
        <f>AND(#REF!,"AAAAAHWT/8c=")</f>
        <v>#REF!</v>
      </c>
      <c r="GS10" t="e">
        <f>AND(#REF!,"AAAAAHWT/8g=")</f>
        <v>#REF!</v>
      </c>
      <c r="GT10" t="e">
        <f>AND(#REF!,"AAAAAHWT/8k=")</f>
        <v>#REF!</v>
      </c>
      <c r="GU10" t="e">
        <f>AND(#REF!,"AAAAAHWT/8o=")</f>
        <v>#REF!</v>
      </c>
      <c r="GV10" t="e">
        <f>AND(#REF!,"AAAAAHWT/8s=")</f>
        <v>#REF!</v>
      </c>
      <c r="GW10" t="e">
        <f>IF(#REF!,"AAAAAHWT/8w=",0)</f>
        <v>#REF!</v>
      </c>
      <c r="GX10" t="e">
        <f>AND(#REF!,"AAAAAHWT/80=")</f>
        <v>#REF!</v>
      </c>
      <c r="GY10" t="e">
        <f>AND(#REF!,"AAAAAHWT/84=")</f>
        <v>#REF!</v>
      </c>
      <c r="GZ10" t="e">
        <f>AND(#REF!,"AAAAAHWT/88=")</f>
        <v>#REF!</v>
      </c>
      <c r="HA10" t="e">
        <f>AND(#REF!,"AAAAAHWT/9A=")</f>
        <v>#REF!</v>
      </c>
      <c r="HB10" t="e">
        <f>AND(#REF!,"AAAAAHWT/9E=")</f>
        <v>#REF!</v>
      </c>
      <c r="HC10" t="e">
        <f>AND(#REF!,"AAAAAHWT/9I=")</f>
        <v>#REF!</v>
      </c>
      <c r="HD10" t="e">
        <f>AND(#REF!,"AAAAAHWT/9M=")</f>
        <v>#REF!</v>
      </c>
      <c r="HE10" t="e">
        <f>AND(#REF!,"AAAAAHWT/9Q=")</f>
        <v>#REF!</v>
      </c>
      <c r="HF10" t="e">
        <f>AND(#REF!,"AAAAAHWT/9U=")</f>
        <v>#REF!</v>
      </c>
      <c r="HG10" t="e">
        <f>IF(#REF!,"AAAAAHWT/9Y=",0)</f>
        <v>#REF!</v>
      </c>
      <c r="HH10" t="e">
        <f>AND(#REF!,"AAAAAHWT/9c=")</f>
        <v>#REF!</v>
      </c>
      <c r="HI10" t="e">
        <f>AND(#REF!,"AAAAAHWT/9g=")</f>
        <v>#REF!</v>
      </c>
      <c r="HJ10" t="e">
        <f>AND(#REF!,"AAAAAHWT/9k=")</f>
        <v>#REF!</v>
      </c>
      <c r="HK10" t="e">
        <f>AND(#REF!,"AAAAAHWT/9o=")</f>
        <v>#REF!</v>
      </c>
      <c r="HL10" t="e">
        <f>AND(#REF!,"AAAAAHWT/9s=")</f>
        <v>#REF!</v>
      </c>
      <c r="HM10" t="e">
        <f>AND(#REF!,"AAAAAHWT/9w=")</f>
        <v>#REF!</v>
      </c>
      <c r="HN10" t="e">
        <f>AND(#REF!,"AAAAAHWT/90=")</f>
        <v>#REF!</v>
      </c>
      <c r="HO10" t="e">
        <f>AND(#REF!,"AAAAAHWT/94=")</f>
        <v>#REF!</v>
      </c>
      <c r="HP10" t="e">
        <f>AND(#REF!,"AAAAAHWT/98=")</f>
        <v>#REF!</v>
      </c>
      <c r="HQ10" t="e">
        <f>IF(#REF!,"AAAAAHWT/+A=",0)</f>
        <v>#REF!</v>
      </c>
      <c r="HR10" t="e">
        <f>AND(#REF!,"AAAAAHWT/+E=")</f>
        <v>#REF!</v>
      </c>
      <c r="HS10" t="e">
        <f>AND(#REF!,"AAAAAHWT/+I=")</f>
        <v>#REF!</v>
      </c>
      <c r="HT10" t="e">
        <f>AND(#REF!,"AAAAAHWT/+M=")</f>
        <v>#REF!</v>
      </c>
      <c r="HU10" t="e">
        <f>AND(#REF!,"AAAAAHWT/+Q=")</f>
        <v>#REF!</v>
      </c>
      <c r="HV10" t="e">
        <f>AND(#REF!,"AAAAAHWT/+U=")</f>
        <v>#REF!</v>
      </c>
      <c r="HW10" t="e">
        <f>AND(#REF!,"AAAAAHWT/+Y=")</f>
        <v>#REF!</v>
      </c>
      <c r="HX10" t="e">
        <f>AND(#REF!,"AAAAAHWT/+c=")</f>
        <v>#REF!</v>
      </c>
      <c r="HY10" t="e">
        <f>AND(#REF!,"AAAAAHWT/+g=")</f>
        <v>#REF!</v>
      </c>
      <c r="HZ10" t="e">
        <f>AND(#REF!,"AAAAAHWT/+k=")</f>
        <v>#REF!</v>
      </c>
      <c r="IA10" t="e">
        <f>IF(#REF!,"AAAAAHWT/+o=",0)</f>
        <v>#REF!</v>
      </c>
      <c r="IB10" t="e">
        <f>AND(#REF!,"AAAAAHWT/+s=")</f>
        <v>#REF!</v>
      </c>
      <c r="IC10" t="e">
        <f>AND(#REF!,"AAAAAHWT/+w=")</f>
        <v>#REF!</v>
      </c>
      <c r="ID10" t="e">
        <f>AND(#REF!,"AAAAAHWT/+0=")</f>
        <v>#REF!</v>
      </c>
      <c r="IE10" t="e">
        <f>AND(#REF!,"AAAAAHWT/+4=")</f>
        <v>#REF!</v>
      </c>
      <c r="IF10" t="e">
        <f>AND(#REF!,"AAAAAHWT/+8=")</f>
        <v>#REF!</v>
      </c>
      <c r="IG10" t="e">
        <f>AND(#REF!,"AAAAAHWT//A=")</f>
        <v>#REF!</v>
      </c>
      <c r="IH10" t="e">
        <f>AND(#REF!,"AAAAAHWT//E=")</f>
        <v>#REF!</v>
      </c>
      <c r="II10" t="e">
        <f>AND(#REF!,"AAAAAHWT//I=")</f>
        <v>#REF!</v>
      </c>
      <c r="IJ10" t="e">
        <f>AND(#REF!,"AAAAAHWT//M=")</f>
        <v>#REF!</v>
      </c>
      <c r="IK10" t="e">
        <f>IF(#REF!,"AAAAAHWT//Q=",0)</f>
        <v>#REF!</v>
      </c>
      <c r="IL10" t="e">
        <f>AND(#REF!,"AAAAAHWT//U=")</f>
        <v>#REF!</v>
      </c>
      <c r="IM10" t="e">
        <f>AND(#REF!,"AAAAAHWT//Y=")</f>
        <v>#REF!</v>
      </c>
      <c r="IN10" t="e">
        <f>AND(#REF!,"AAAAAHWT//c=")</f>
        <v>#REF!</v>
      </c>
      <c r="IO10" t="e">
        <f>AND(#REF!,"AAAAAHWT//g=")</f>
        <v>#REF!</v>
      </c>
      <c r="IP10" t="e">
        <f>AND(#REF!,"AAAAAHWT//k=")</f>
        <v>#REF!</v>
      </c>
      <c r="IQ10" t="e">
        <f>AND(#REF!,"AAAAAHWT//o=")</f>
        <v>#REF!</v>
      </c>
      <c r="IR10" t="e">
        <f>AND(#REF!,"AAAAAHWT//s=")</f>
        <v>#REF!</v>
      </c>
      <c r="IS10" t="e">
        <f>AND(#REF!,"AAAAAHWT//w=")</f>
        <v>#REF!</v>
      </c>
      <c r="IT10" t="e">
        <f>AND(#REF!,"AAAAAHWT//0=")</f>
        <v>#REF!</v>
      </c>
      <c r="IU10" t="e">
        <f>IF(#REF!,"AAAAAHWT//4=",0)</f>
        <v>#REF!</v>
      </c>
      <c r="IV10" t="e">
        <f>AND(#REF!,"AAAAAHWT//8=")</f>
        <v>#REF!</v>
      </c>
    </row>
    <row r="11" spans="1:256" ht="12.75">
      <c r="A11" t="e">
        <f>AND(#REF!,"AAAAAH//4wA=")</f>
        <v>#REF!</v>
      </c>
      <c r="B11" t="e">
        <f>AND(#REF!,"AAAAAH//4wE=")</f>
        <v>#REF!</v>
      </c>
      <c r="C11" t="e">
        <f>AND(#REF!,"AAAAAH//4wI=")</f>
        <v>#REF!</v>
      </c>
      <c r="D11" t="e">
        <f>AND(#REF!,"AAAAAH//4wM=")</f>
        <v>#REF!</v>
      </c>
      <c r="E11" t="e">
        <f>AND(#REF!,"AAAAAH//4wQ=")</f>
        <v>#REF!</v>
      </c>
      <c r="F11" t="e">
        <f>AND(#REF!,"AAAAAH//4wU=")</f>
        <v>#REF!</v>
      </c>
      <c r="G11" t="e">
        <f>AND(#REF!,"AAAAAH//4wY=")</f>
        <v>#REF!</v>
      </c>
      <c r="H11" t="e">
        <f>AND(#REF!,"AAAAAH//4wc=")</f>
        <v>#REF!</v>
      </c>
      <c r="I11" t="e">
        <f>IF(#REF!,"AAAAAH//4wg=",0)</f>
        <v>#REF!</v>
      </c>
      <c r="J11" t="e">
        <f>AND(#REF!,"AAAAAH//4wk=")</f>
        <v>#REF!</v>
      </c>
      <c r="K11" t="e">
        <f>AND(#REF!,"AAAAAH//4wo=")</f>
        <v>#REF!</v>
      </c>
      <c r="L11" t="e">
        <f>AND(#REF!,"AAAAAH//4ws=")</f>
        <v>#REF!</v>
      </c>
      <c r="M11" t="e">
        <f>AND(#REF!,"AAAAAH//4ww=")</f>
        <v>#REF!</v>
      </c>
      <c r="N11" t="e">
        <f>AND(#REF!,"AAAAAH//4w0=")</f>
        <v>#REF!</v>
      </c>
      <c r="O11" t="e">
        <f>AND(#REF!,"AAAAAH//4w4=")</f>
        <v>#REF!</v>
      </c>
      <c r="P11" t="e">
        <f>AND(#REF!,"AAAAAH//4w8=")</f>
        <v>#REF!</v>
      </c>
      <c r="Q11" t="e">
        <f>AND(#REF!,"AAAAAH//4xA=")</f>
        <v>#REF!</v>
      </c>
      <c r="R11" t="e">
        <f>AND(#REF!,"AAAAAH//4xE=")</f>
        <v>#REF!</v>
      </c>
      <c r="S11" t="e">
        <f>IF(#REF!,"AAAAAH//4xI=",0)</f>
        <v>#REF!</v>
      </c>
      <c r="T11" t="e">
        <f>AND(#REF!,"AAAAAH//4xM=")</f>
        <v>#REF!</v>
      </c>
      <c r="U11" t="e">
        <f>AND(#REF!,"AAAAAH//4xQ=")</f>
        <v>#REF!</v>
      </c>
      <c r="V11" t="e">
        <f>AND(#REF!,"AAAAAH//4xU=")</f>
        <v>#REF!</v>
      </c>
      <c r="W11" t="e">
        <f>AND(#REF!,"AAAAAH//4xY=")</f>
        <v>#REF!</v>
      </c>
      <c r="X11" t="e">
        <f>AND(#REF!,"AAAAAH//4xc=")</f>
        <v>#REF!</v>
      </c>
      <c r="Y11" t="e">
        <f>AND(#REF!,"AAAAAH//4xg=")</f>
        <v>#REF!</v>
      </c>
      <c r="Z11" t="e">
        <f>AND(#REF!,"AAAAAH//4xk=")</f>
        <v>#REF!</v>
      </c>
      <c r="AA11" t="e">
        <f>AND(#REF!,"AAAAAH//4xo=")</f>
        <v>#REF!</v>
      </c>
      <c r="AB11" t="e">
        <f>AND(#REF!,"AAAAAH//4xs=")</f>
        <v>#REF!</v>
      </c>
      <c r="AC11" t="e">
        <f>IF(#REF!,"AAAAAH//4xw=",0)</f>
        <v>#REF!</v>
      </c>
      <c r="AD11" t="e">
        <f>AND(#REF!,"AAAAAH//4x0=")</f>
        <v>#REF!</v>
      </c>
      <c r="AE11" t="e">
        <f>AND(#REF!,"AAAAAH//4x4=")</f>
        <v>#REF!</v>
      </c>
      <c r="AF11" t="e">
        <f>AND(#REF!,"AAAAAH//4x8=")</f>
        <v>#REF!</v>
      </c>
      <c r="AG11" t="e">
        <f>AND(#REF!,"AAAAAH//4yA=")</f>
        <v>#REF!</v>
      </c>
      <c r="AH11" t="e">
        <f>AND(#REF!,"AAAAAH//4yE=")</f>
        <v>#REF!</v>
      </c>
      <c r="AI11" t="e">
        <f>AND(#REF!,"AAAAAH//4yI=")</f>
        <v>#REF!</v>
      </c>
      <c r="AJ11" t="e">
        <f>AND(#REF!,"AAAAAH//4yM=")</f>
        <v>#REF!</v>
      </c>
      <c r="AK11" t="e">
        <f>AND(#REF!,"AAAAAH//4yQ=")</f>
        <v>#REF!</v>
      </c>
      <c r="AL11" t="e">
        <f>AND(#REF!,"AAAAAH//4yU=")</f>
        <v>#REF!</v>
      </c>
      <c r="AM11" t="e">
        <f>IF(#REF!,"AAAAAH//4yY=",0)</f>
        <v>#REF!</v>
      </c>
      <c r="AN11" t="e">
        <f>AND(#REF!,"AAAAAH//4yc=")</f>
        <v>#REF!</v>
      </c>
      <c r="AO11" t="e">
        <f>AND(#REF!,"AAAAAH//4yg=")</f>
        <v>#REF!</v>
      </c>
      <c r="AP11" t="e">
        <f>AND(#REF!,"AAAAAH//4yk=")</f>
        <v>#REF!</v>
      </c>
      <c r="AQ11" t="e">
        <f>AND(#REF!,"AAAAAH//4yo=")</f>
        <v>#REF!</v>
      </c>
      <c r="AR11" t="e">
        <f>AND(#REF!,"AAAAAH//4ys=")</f>
        <v>#REF!</v>
      </c>
      <c r="AS11" t="e">
        <f>AND(#REF!,"AAAAAH//4yw=")</f>
        <v>#REF!</v>
      </c>
      <c r="AT11" t="e">
        <f>AND(#REF!,"AAAAAH//4y0=")</f>
        <v>#REF!</v>
      </c>
      <c r="AU11" t="e">
        <f>AND(#REF!,"AAAAAH//4y4=")</f>
        <v>#REF!</v>
      </c>
      <c r="AV11" t="e">
        <f>AND(#REF!,"AAAAAH//4y8=")</f>
        <v>#REF!</v>
      </c>
      <c r="AW11" t="e">
        <f>IF(#REF!,"AAAAAH//4zA=",0)</f>
        <v>#REF!</v>
      </c>
      <c r="AX11" t="e">
        <f>IF(#REF!,"AAAAAH//4zE=",0)</f>
        <v>#REF!</v>
      </c>
      <c r="AY11" t="e">
        <f>IF(#REF!,"AAAAAH//4zI=",0)</f>
        <v>#REF!</v>
      </c>
      <c r="AZ11" t="e">
        <f>IF(#REF!,"AAAAAH//4zM=",0)</f>
        <v>#REF!</v>
      </c>
      <c r="BA11" t="e">
        <f>IF(#REF!,"AAAAAH//4zQ=",0)</f>
        <v>#REF!</v>
      </c>
      <c r="BB11" t="e">
        <f>IF(#REF!,"AAAAAH//4zU=",0)</f>
        <v>#REF!</v>
      </c>
      <c r="BC11" t="e">
        <f>IF(#REF!,"AAAAAH//4zY=",0)</f>
        <v>#REF!</v>
      </c>
      <c r="BD11" t="e">
        <f>IF(#REF!,"AAAAAH//4zc=",0)</f>
        <v>#REF!</v>
      </c>
      <c r="BE11" t="e">
        <f>IF(#REF!,"AAAAAH//4zg=",0)</f>
        <v>#REF!</v>
      </c>
      <c r="BF11" t="e">
        <f>IF(#REF!,"AAAAAH//4zk=",0)</f>
        <v>#REF!</v>
      </c>
      <c r="BG11" t="e">
        <f>IF(#REF!,"AAAAAH//4zo=",0)</f>
        <v>#REF!</v>
      </c>
      <c r="BH11" t="e">
        <f>IF(#REF!,"AAAAAH//4zs=",0)</f>
        <v>#REF!</v>
      </c>
      <c r="BI11" t="e">
        <f>IF(#REF!,"AAAAAH//4zw=",0)</f>
        <v>#REF!</v>
      </c>
      <c r="BJ11" t="e">
        <f>IF(#REF!,"AAAAAH//4z0=",0)</f>
        <v>#REF!</v>
      </c>
      <c r="BK11" t="e">
        <f>AND(#REF!,"AAAAAH//4z4=")</f>
        <v>#REF!</v>
      </c>
      <c r="BL11" t="e">
        <f>AND(#REF!,"AAAAAH//4z8=")</f>
        <v>#REF!</v>
      </c>
      <c r="BM11" t="e">
        <f>AND(#REF!,"AAAAAH//40A=")</f>
        <v>#REF!</v>
      </c>
      <c r="BN11" t="e">
        <f>AND(#REF!,"AAAAAH//40E=")</f>
        <v>#REF!</v>
      </c>
      <c r="BO11" t="e">
        <f>AND(#REF!,"AAAAAH//40I=")</f>
        <v>#REF!</v>
      </c>
      <c r="BP11" t="e">
        <f>AND(#REF!,"AAAAAH//40M=")</f>
        <v>#REF!</v>
      </c>
      <c r="BQ11" t="e">
        <f>AND(#REF!,"AAAAAH//40Q=")</f>
        <v>#REF!</v>
      </c>
      <c r="BR11" t="e">
        <f>AND(#REF!,"AAAAAH//40U=")</f>
        <v>#REF!</v>
      </c>
      <c r="BS11" t="e">
        <f>AND(#REF!,"AAAAAH//40Y=")</f>
        <v>#REF!</v>
      </c>
      <c r="BT11" t="e">
        <f>IF(#REF!,"AAAAAH//40c=",0)</f>
        <v>#REF!</v>
      </c>
      <c r="BU11" t="e">
        <f>AND(#REF!,"AAAAAH//40g=")</f>
        <v>#REF!</v>
      </c>
      <c r="BV11" t="e">
        <f>AND(#REF!,"AAAAAH//40k=")</f>
        <v>#REF!</v>
      </c>
      <c r="BW11" t="e">
        <f>AND(#REF!,"AAAAAH//40o=")</f>
        <v>#REF!</v>
      </c>
      <c r="BX11" t="e">
        <f>AND(#REF!,"AAAAAH//40s=")</f>
        <v>#REF!</v>
      </c>
      <c r="BY11" t="e">
        <f>AND(#REF!,"AAAAAH//40w=")</f>
        <v>#REF!</v>
      </c>
      <c r="BZ11" t="e">
        <f>AND(#REF!,"AAAAAH//400=")</f>
        <v>#REF!</v>
      </c>
      <c r="CA11" t="e">
        <f>AND(#REF!,"AAAAAH//404=")</f>
        <v>#REF!</v>
      </c>
      <c r="CB11" t="e">
        <f>AND(#REF!,"AAAAAH//408=")</f>
        <v>#REF!</v>
      </c>
      <c r="CC11" t="e">
        <f>AND(#REF!,"AAAAAH//41A=")</f>
        <v>#REF!</v>
      </c>
      <c r="CD11" t="e">
        <f>IF(#REF!,"AAAAAH//41E=",0)</f>
        <v>#REF!</v>
      </c>
      <c r="CE11" t="e">
        <f>AND(#REF!,"AAAAAH//41I=")</f>
        <v>#REF!</v>
      </c>
      <c r="CF11" t="e">
        <f>AND(#REF!,"AAAAAH//41M=")</f>
        <v>#REF!</v>
      </c>
      <c r="CG11" t="e">
        <f>AND(#REF!,"AAAAAH//41Q=")</f>
        <v>#REF!</v>
      </c>
      <c r="CH11" t="e">
        <f>AND(#REF!,"AAAAAH//41U=")</f>
        <v>#REF!</v>
      </c>
      <c r="CI11" t="e">
        <f>AND(#REF!,"AAAAAH//41Y=")</f>
        <v>#REF!</v>
      </c>
      <c r="CJ11" t="e">
        <f>AND(#REF!,"AAAAAH//41c=")</f>
        <v>#REF!</v>
      </c>
      <c r="CK11" t="e">
        <f>AND(#REF!,"AAAAAH//41g=")</f>
        <v>#REF!</v>
      </c>
      <c r="CL11" t="e">
        <f>AND(#REF!,"AAAAAH//41k=")</f>
        <v>#REF!</v>
      </c>
      <c r="CM11" t="e">
        <f>AND(#REF!,"AAAAAH//41o=")</f>
        <v>#REF!</v>
      </c>
      <c r="CN11" t="e">
        <f>IF(#REF!,"AAAAAH//41s=",0)</f>
        <v>#REF!</v>
      </c>
      <c r="CO11" t="e">
        <f>AND(#REF!,"AAAAAH//41w=")</f>
        <v>#REF!</v>
      </c>
      <c r="CP11" t="e">
        <f>AND(#REF!,"AAAAAH//410=")</f>
        <v>#REF!</v>
      </c>
      <c r="CQ11" t="e">
        <f>AND(#REF!,"AAAAAH//414=")</f>
        <v>#REF!</v>
      </c>
      <c r="CR11" t="e">
        <f>AND(#REF!,"AAAAAH//418=")</f>
        <v>#REF!</v>
      </c>
      <c r="CS11" t="e">
        <f>AND(#REF!,"AAAAAH//42A=")</f>
        <v>#REF!</v>
      </c>
      <c r="CT11" t="e">
        <f>AND(#REF!,"AAAAAH//42E=")</f>
        <v>#REF!</v>
      </c>
      <c r="CU11" t="e">
        <f>AND(#REF!,"AAAAAH//42I=")</f>
        <v>#REF!</v>
      </c>
      <c r="CV11" t="e">
        <f>AND(#REF!,"AAAAAH//42M=")</f>
        <v>#REF!</v>
      </c>
      <c r="CW11" t="e">
        <f>AND(#REF!,"AAAAAH//42Q=")</f>
        <v>#REF!</v>
      </c>
      <c r="CX11" t="e">
        <f>IF(#REF!,"AAAAAH//42U=",0)</f>
        <v>#REF!</v>
      </c>
      <c r="CY11" t="e">
        <f>AND(#REF!,"AAAAAH//42Y=")</f>
        <v>#REF!</v>
      </c>
      <c r="CZ11" t="e">
        <f>AND(#REF!,"AAAAAH//42c=")</f>
        <v>#REF!</v>
      </c>
      <c r="DA11" t="e">
        <f>AND(#REF!,"AAAAAH//42g=")</f>
        <v>#REF!</v>
      </c>
      <c r="DB11" t="e">
        <f>AND(#REF!,"AAAAAH//42k=")</f>
        <v>#REF!</v>
      </c>
      <c r="DC11" t="e">
        <f>AND(#REF!,"AAAAAH//42o=")</f>
        <v>#REF!</v>
      </c>
      <c r="DD11" t="e">
        <f>AND(#REF!,"AAAAAH//42s=")</f>
        <v>#REF!</v>
      </c>
      <c r="DE11" t="e">
        <f>AND(#REF!,"AAAAAH//42w=")</f>
        <v>#REF!</v>
      </c>
      <c r="DF11" t="e">
        <f>AND(#REF!,"AAAAAH//420=")</f>
        <v>#REF!</v>
      </c>
      <c r="DG11" t="e">
        <f>AND(#REF!,"AAAAAH//424=")</f>
        <v>#REF!</v>
      </c>
      <c r="DH11" t="e">
        <f>IF(#REF!,"AAAAAH//428=",0)</f>
        <v>#REF!</v>
      </c>
      <c r="DI11" t="e">
        <f>AND(#REF!,"AAAAAH//43A=")</f>
        <v>#REF!</v>
      </c>
      <c r="DJ11" t="e">
        <f>AND(#REF!,"AAAAAH//43E=")</f>
        <v>#REF!</v>
      </c>
      <c r="DK11" t="e">
        <f>AND(#REF!,"AAAAAH//43I=")</f>
        <v>#REF!</v>
      </c>
      <c r="DL11" t="e">
        <f>AND(#REF!,"AAAAAH//43M=")</f>
        <v>#REF!</v>
      </c>
      <c r="DM11" t="e">
        <f>AND(#REF!,"AAAAAH//43Q=")</f>
        <v>#REF!</v>
      </c>
      <c r="DN11" t="e">
        <f>AND(#REF!,"AAAAAH//43U=")</f>
        <v>#REF!</v>
      </c>
      <c r="DO11" t="e">
        <f>AND(#REF!,"AAAAAH//43Y=")</f>
        <v>#REF!</v>
      </c>
      <c r="DP11" t="e">
        <f>AND(#REF!,"AAAAAH//43c=")</f>
        <v>#REF!</v>
      </c>
      <c r="DQ11" t="e">
        <f>AND(#REF!,"AAAAAH//43g=")</f>
        <v>#REF!</v>
      </c>
      <c r="DR11" t="e">
        <f>IF(#REF!,"AAAAAH//43k=",0)</f>
        <v>#REF!</v>
      </c>
      <c r="DS11" t="e">
        <f>AND(#REF!,"AAAAAH//43o=")</f>
        <v>#REF!</v>
      </c>
      <c r="DT11" t="e">
        <f>AND(#REF!,"AAAAAH//43s=")</f>
        <v>#REF!</v>
      </c>
      <c r="DU11" t="e">
        <f>AND(#REF!,"AAAAAH//43w=")</f>
        <v>#REF!</v>
      </c>
      <c r="DV11" t="e">
        <f>AND(#REF!,"AAAAAH//430=")</f>
        <v>#REF!</v>
      </c>
      <c r="DW11" t="e">
        <f>AND(#REF!,"AAAAAH//434=")</f>
        <v>#REF!</v>
      </c>
      <c r="DX11" t="e">
        <f>AND(#REF!,"AAAAAH//438=")</f>
        <v>#REF!</v>
      </c>
      <c r="DY11" t="e">
        <f>AND(#REF!,"AAAAAH//44A=")</f>
        <v>#REF!</v>
      </c>
      <c r="DZ11" t="e">
        <f>AND(#REF!,"AAAAAH//44E=")</f>
        <v>#REF!</v>
      </c>
      <c r="EA11" t="e">
        <f>AND(#REF!,"AAAAAH//44I=")</f>
        <v>#REF!</v>
      </c>
      <c r="EB11" t="e">
        <f>IF(#REF!,"AAAAAH//44M=",0)</f>
        <v>#REF!</v>
      </c>
      <c r="EC11" t="e">
        <f>AND(#REF!,"AAAAAH//44Q=")</f>
        <v>#REF!</v>
      </c>
      <c r="ED11" t="e">
        <f>AND(#REF!,"AAAAAH//44U=")</f>
        <v>#REF!</v>
      </c>
      <c r="EE11" t="e">
        <f>AND(#REF!,"AAAAAH//44Y=")</f>
        <v>#REF!</v>
      </c>
      <c r="EF11" t="e">
        <f>AND(#REF!,"AAAAAH//44c=")</f>
        <v>#REF!</v>
      </c>
      <c r="EG11" t="e">
        <f>AND(#REF!,"AAAAAH//44g=")</f>
        <v>#REF!</v>
      </c>
      <c r="EH11" t="e">
        <f>AND(#REF!,"AAAAAH//44k=")</f>
        <v>#REF!</v>
      </c>
      <c r="EI11" t="e">
        <f>AND(#REF!,"AAAAAH//44o=")</f>
        <v>#REF!</v>
      </c>
      <c r="EJ11" t="e">
        <f>AND(#REF!,"AAAAAH//44s=")</f>
        <v>#REF!</v>
      </c>
      <c r="EK11" t="e">
        <f>AND(#REF!,"AAAAAH//44w=")</f>
        <v>#REF!</v>
      </c>
      <c r="EL11" t="e">
        <f>IF(#REF!,"AAAAAH//440=",0)</f>
        <v>#REF!</v>
      </c>
      <c r="EM11" t="e">
        <f>AND(#REF!,"AAAAAH//444=")</f>
        <v>#REF!</v>
      </c>
      <c r="EN11" t="e">
        <f>AND(#REF!,"AAAAAH//448=")</f>
        <v>#REF!</v>
      </c>
      <c r="EO11" t="e">
        <f>AND(#REF!,"AAAAAH//45A=")</f>
        <v>#REF!</v>
      </c>
      <c r="EP11" t="e">
        <f>AND(#REF!,"AAAAAH//45E=")</f>
        <v>#REF!</v>
      </c>
      <c r="EQ11" t="e">
        <f>AND(#REF!,"AAAAAH//45I=")</f>
        <v>#REF!</v>
      </c>
      <c r="ER11" t="e">
        <f>AND(#REF!,"AAAAAH//45M=")</f>
        <v>#REF!</v>
      </c>
      <c r="ES11" t="e">
        <f>AND(#REF!,"AAAAAH//45Q=")</f>
        <v>#REF!</v>
      </c>
      <c r="ET11" t="e">
        <f>AND(#REF!,"AAAAAH//45U=")</f>
        <v>#REF!</v>
      </c>
      <c r="EU11" t="e">
        <f>AND(#REF!,"AAAAAH//45Y=")</f>
        <v>#REF!</v>
      </c>
      <c r="EV11" t="e">
        <f>IF(#REF!,"AAAAAH//45c=",0)</f>
        <v>#REF!</v>
      </c>
      <c r="EW11" t="e">
        <f>AND(#REF!,"AAAAAH//45g=")</f>
        <v>#REF!</v>
      </c>
      <c r="EX11" t="e">
        <f>AND(#REF!,"AAAAAH//45k=")</f>
        <v>#REF!</v>
      </c>
      <c r="EY11" t="e">
        <f>AND(#REF!,"AAAAAH//45o=")</f>
        <v>#REF!</v>
      </c>
      <c r="EZ11" t="e">
        <f>AND(#REF!,"AAAAAH//45s=")</f>
        <v>#REF!</v>
      </c>
      <c r="FA11" t="e">
        <f>AND(#REF!,"AAAAAH//45w=")</f>
        <v>#REF!</v>
      </c>
      <c r="FB11" t="e">
        <f>AND(#REF!,"AAAAAH//450=")</f>
        <v>#REF!</v>
      </c>
      <c r="FC11" t="e">
        <f>AND(#REF!,"AAAAAH//454=")</f>
        <v>#REF!</v>
      </c>
      <c r="FD11" t="e">
        <f>AND(#REF!,"AAAAAH//458=")</f>
        <v>#REF!</v>
      </c>
      <c r="FE11" t="e">
        <f>AND(#REF!,"AAAAAH//46A=")</f>
        <v>#REF!</v>
      </c>
      <c r="FF11" t="e">
        <f>IF(#REF!,"AAAAAH//46E=",0)</f>
        <v>#REF!</v>
      </c>
      <c r="FG11" t="e">
        <f>AND(#REF!,"AAAAAH//46I=")</f>
        <v>#REF!</v>
      </c>
      <c r="FH11" t="e">
        <f>AND(#REF!,"AAAAAH//46M=")</f>
        <v>#REF!</v>
      </c>
      <c r="FI11" t="e">
        <f>AND(#REF!,"AAAAAH//46Q=")</f>
        <v>#REF!</v>
      </c>
      <c r="FJ11" t="e">
        <f>AND(#REF!,"AAAAAH//46U=")</f>
        <v>#REF!</v>
      </c>
      <c r="FK11" t="e">
        <f>AND(#REF!,"AAAAAH//46Y=")</f>
        <v>#REF!</v>
      </c>
      <c r="FL11" t="e">
        <f>AND(#REF!,"AAAAAH//46c=")</f>
        <v>#REF!</v>
      </c>
      <c r="FM11" t="e">
        <f>AND(#REF!,"AAAAAH//46g=")</f>
        <v>#REF!</v>
      </c>
      <c r="FN11" t="e">
        <f>AND(#REF!,"AAAAAH//46k=")</f>
        <v>#REF!</v>
      </c>
      <c r="FO11" t="e">
        <f>AND(#REF!,"AAAAAH//46o=")</f>
        <v>#REF!</v>
      </c>
      <c r="FP11" t="e">
        <f>IF(#REF!,"AAAAAH//46s=",0)</f>
        <v>#REF!</v>
      </c>
      <c r="FQ11" t="e">
        <f>AND(#REF!,"AAAAAH//46w=")</f>
        <v>#REF!</v>
      </c>
      <c r="FR11" t="e">
        <f>AND(#REF!,"AAAAAH//460=")</f>
        <v>#REF!</v>
      </c>
      <c r="FS11" t="e">
        <f>AND(#REF!,"AAAAAH//464=")</f>
        <v>#REF!</v>
      </c>
      <c r="FT11" t="e">
        <f>AND(#REF!,"AAAAAH//468=")</f>
        <v>#REF!</v>
      </c>
      <c r="FU11" t="e">
        <f>AND(#REF!,"AAAAAH//47A=")</f>
        <v>#REF!</v>
      </c>
      <c r="FV11" t="e">
        <f>AND(#REF!,"AAAAAH//47E=")</f>
        <v>#REF!</v>
      </c>
      <c r="FW11" t="e">
        <f>AND(#REF!,"AAAAAH//47I=")</f>
        <v>#REF!</v>
      </c>
      <c r="FX11" t="e">
        <f>AND(#REF!,"AAAAAH//47M=")</f>
        <v>#REF!</v>
      </c>
      <c r="FY11" t="e">
        <f>AND(#REF!,"AAAAAH//47Q=")</f>
        <v>#REF!</v>
      </c>
      <c r="FZ11" t="e">
        <f>IF(#REF!,"AAAAAH//47U=",0)</f>
        <v>#REF!</v>
      </c>
      <c r="GA11" t="e">
        <f>AND(#REF!,"AAAAAH//47Y=")</f>
        <v>#REF!</v>
      </c>
      <c r="GB11" t="e">
        <f>AND(#REF!,"AAAAAH//47c=")</f>
        <v>#REF!</v>
      </c>
      <c r="GC11" t="e">
        <f>AND(#REF!,"AAAAAH//47g=")</f>
        <v>#REF!</v>
      </c>
      <c r="GD11" t="e">
        <f>AND(#REF!,"AAAAAH//47k=")</f>
        <v>#REF!</v>
      </c>
      <c r="GE11" t="e">
        <f>AND(#REF!,"AAAAAH//47o=")</f>
        <v>#REF!</v>
      </c>
      <c r="GF11" t="e">
        <f>AND(#REF!,"AAAAAH//47s=")</f>
        <v>#REF!</v>
      </c>
      <c r="GG11" t="e">
        <f>AND(#REF!,"AAAAAH//47w=")</f>
        <v>#REF!</v>
      </c>
      <c r="GH11" t="e">
        <f>AND(#REF!,"AAAAAH//470=")</f>
        <v>#REF!</v>
      </c>
      <c r="GI11" t="e">
        <f>AND(#REF!,"AAAAAH//474=")</f>
        <v>#REF!</v>
      </c>
      <c r="GJ11" t="e">
        <f>IF(#REF!,"AAAAAH//478=",0)</f>
        <v>#REF!</v>
      </c>
      <c r="GK11" t="e">
        <f>AND(#REF!,"AAAAAH//48A=")</f>
        <v>#REF!</v>
      </c>
      <c r="GL11" t="e">
        <f>AND(#REF!,"AAAAAH//48E=")</f>
        <v>#REF!</v>
      </c>
      <c r="GM11" t="e">
        <f>AND(#REF!,"AAAAAH//48I=")</f>
        <v>#REF!</v>
      </c>
      <c r="GN11" t="e">
        <f>AND(#REF!,"AAAAAH//48M=")</f>
        <v>#REF!</v>
      </c>
      <c r="GO11" t="e">
        <f>AND(#REF!,"AAAAAH//48Q=")</f>
        <v>#REF!</v>
      </c>
      <c r="GP11" t="e">
        <f>AND(#REF!,"AAAAAH//48U=")</f>
        <v>#REF!</v>
      </c>
      <c r="GQ11" t="e">
        <f>AND(#REF!,"AAAAAH//48Y=")</f>
        <v>#REF!</v>
      </c>
      <c r="GR11" t="e">
        <f>AND(#REF!,"AAAAAH//48c=")</f>
        <v>#REF!</v>
      </c>
      <c r="GS11" t="e">
        <f>AND(#REF!,"AAAAAH//48g=")</f>
        <v>#REF!</v>
      </c>
      <c r="GT11" t="e">
        <f>IF(#REF!,"AAAAAH//48k=",0)</f>
        <v>#REF!</v>
      </c>
      <c r="GU11" t="e">
        <f>AND(#REF!,"AAAAAH//48o=")</f>
        <v>#REF!</v>
      </c>
      <c r="GV11" t="e">
        <f>AND(#REF!,"AAAAAH//48s=")</f>
        <v>#REF!</v>
      </c>
      <c r="GW11" t="e">
        <f>AND(#REF!,"AAAAAH//48w=")</f>
        <v>#REF!</v>
      </c>
      <c r="GX11" t="e">
        <f>AND(#REF!,"AAAAAH//480=")</f>
        <v>#REF!</v>
      </c>
      <c r="GY11" t="e">
        <f>AND(#REF!,"AAAAAH//484=")</f>
        <v>#REF!</v>
      </c>
      <c r="GZ11" t="e">
        <f>AND(#REF!,"AAAAAH//488=")</f>
        <v>#REF!</v>
      </c>
      <c r="HA11" t="e">
        <f>AND(#REF!,"AAAAAH//49A=")</f>
        <v>#REF!</v>
      </c>
      <c r="HB11" t="e">
        <f>AND(#REF!,"AAAAAH//49E=")</f>
        <v>#REF!</v>
      </c>
      <c r="HC11" t="e">
        <f>AND(#REF!,"AAAAAH//49I=")</f>
        <v>#REF!</v>
      </c>
      <c r="HD11" t="e">
        <f>IF(#REF!,"AAAAAH//49M=",0)</f>
        <v>#REF!</v>
      </c>
      <c r="HE11" t="e">
        <f>AND(#REF!,"AAAAAH//49Q=")</f>
        <v>#REF!</v>
      </c>
      <c r="HF11" t="e">
        <f>AND(#REF!,"AAAAAH//49U=")</f>
        <v>#REF!</v>
      </c>
      <c r="HG11" t="e">
        <f>AND(#REF!,"AAAAAH//49Y=")</f>
        <v>#REF!</v>
      </c>
      <c r="HH11" t="e">
        <f>AND(#REF!,"AAAAAH//49c=")</f>
        <v>#REF!</v>
      </c>
      <c r="HI11" t="e">
        <f>AND(#REF!,"AAAAAH//49g=")</f>
        <v>#REF!</v>
      </c>
      <c r="HJ11" t="e">
        <f>AND(#REF!,"AAAAAH//49k=")</f>
        <v>#REF!</v>
      </c>
      <c r="HK11" t="e">
        <f>AND(#REF!,"AAAAAH//49o=")</f>
        <v>#REF!</v>
      </c>
      <c r="HL11" t="e">
        <f>AND(#REF!,"AAAAAH//49s=")</f>
        <v>#REF!</v>
      </c>
      <c r="HM11" t="e">
        <f>AND(#REF!,"AAAAAH//49w=")</f>
        <v>#REF!</v>
      </c>
      <c r="HN11" t="e">
        <f>IF(#REF!,"AAAAAH//490=",0)</f>
        <v>#REF!</v>
      </c>
      <c r="HO11" t="e">
        <f>AND(#REF!,"AAAAAH//494=")</f>
        <v>#REF!</v>
      </c>
      <c r="HP11" t="e">
        <f>AND(#REF!,"AAAAAH//498=")</f>
        <v>#REF!</v>
      </c>
      <c r="HQ11" t="e">
        <f>AND(#REF!,"AAAAAH//4+A=")</f>
        <v>#REF!</v>
      </c>
      <c r="HR11" t="e">
        <f>AND(#REF!,"AAAAAH//4+E=")</f>
        <v>#REF!</v>
      </c>
      <c r="HS11" t="e">
        <f>AND(#REF!,"AAAAAH//4+I=")</f>
        <v>#REF!</v>
      </c>
      <c r="HT11" t="e">
        <f>AND(#REF!,"AAAAAH//4+M=")</f>
        <v>#REF!</v>
      </c>
      <c r="HU11" t="e">
        <f>AND(#REF!,"AAAAAH//4+Q=")</f>
        <v>#REF!</v>
      </c>
      <c r="HV11" t="e">
        <f>AND(#REF!,"AAAAAH//4+U=")</f>
        <v>#REF!</v>
      </c>
      <c r="HW11" t="e">
        <f>AND(#REF!,"AAAAAH//4+Y=")</f>
        <v>#REF!</v>
      </c>
      <c r="HX11" t="e">
        <f>IF(#REF!,"AAAAAH//4+c=",0)</f>
        <v>#REF!</v>
      </c>
      <c r="HY11" t="e">
        <f>AND(#REF!,"AAAAAH//4+g=")</f>
        <v>#REF!</v>
      </c>
      <c r="HZ11" t="e">
        <f>AND(#REF!,"AAAAAH//4+k=")</f>
        <v>#REF!</v>
      </c>
      <c r="IA11" t="e">
        <f>AND(#REF!,"AAAAAH//4+o=")</f>
        <v>#REF!</v>
      </c>
      <c r="IB11" t="e">
        <f>AND(#REF!,"AAAAAH//4+s=")</f>
        <v>#REF!</v>
      </c>
      <c r="IC11" t="e">
        <f>AND(#REF!,"AAAAAH//4+w=")</f>
        <v>#REF!</v>
      </c>
      <c r="ID11" t="e">
        <f>AND(#REF!,"AAAAAH//4+0=")</f>
        <v>#REF!</v>
      </c>
      <c r="IE11" t="e">
        <f>AND(#REF!,"AAAAAH//4+4=")</f>
        <v>#REF!</v>
      </c>
      <c r="IF11" t="e">
        <f>AND(#REF!,"AAAAAH//4+8=")</f>
        <v>#REF!</v>
      </c>
      <c r="IG11" t="e">
        <f>AND(#REF!,"AAAAAH//4/A=")</f>
        <v>#REF!</v>
      </c>
      <c r="IH11" t="e">
        <f>IF(#REF!,"AAAAAH//4/E=",0)</f>
        <v>#REF!</v>
      </c>
      <c r="II11" t="e">
        <f>AND(#REF!,"AAAAAH//4/I=")</f>
        <v>#REF!</v>
      </c>
      <c r="IJ11" t="e">
        <f>AND(#REF!,"AAAAAH//4/M=")</f>
        <v>#REF!</v>
      </c>
      <c r="IK11" t="e">
        <f>AND(#REF!,"AAAAAH//4/Q=")</f>
        <v>#REF!</v>
      </c>
      <c r="IL11" t="e">
        <f>AND(#REF!,"AAAAAH//4/U=")</f>
        <v>#REF!</v>
      </c>
      <c r="IM11" t="e">
        <f>AND(#REF!,"AAAAAH//4/Y=")</f>
        <v>#REF!</v>
      </c>
      <c r="IN11" t="e">
        <f>AND(#REF!,"AAAAAH//4/c=")</f>
        <v>#REF!</v>
      </c>
      <c r="IO11" t="e">
        <f>AND(#REF!,"AAAAAH//4/g=")</f>
        <v>#REF!</v>
      </c>
      <c r="IP11" t="e">
        <f>AND(#REF!,"AAAAAH//4/k=")</f>
        <v>#REF!</v>
      </c>
      <c r="IQ11" t="e">
        <f>AND(#REF!,"AAAAAH//4/o=")</f>
        <v>#REF!</v>
      </c>
      <c r="IR11" t="e">
        <f>IF(#REF!,"AAAAAH//4/s=",0)</f>
        <v>#REF!</v>
      </c>
      <c r="IS11" t="e">
        <f>AND(#REF!,"AAAAAH//4/w=")</f>
        <v>#REF!</v>
      </c>
      <c r="IT11" t="e">
        <f>AND(#REF!,"AAAAAH//4/0=")</f>
        <v>#REF!</v>
      </c>
      <c r="IU11" t="e">
        <f>AND(#REF!,"AAAAAH//4/4=")</f>
        <v>#REF!</v>
      </c>
      <c r="IV11" t="e">
        <f>AND(#REF!,"AAAAAH//4/8=")</f>
        <v>#REF!</v>
      </c>
    </row>
    <row r="12" spans="1:256" ht="12.75">
      <c r="A12" t="e">
        <f>AND(#REF!,"AAAAAD+vPwA=")</f>
        <v>#REF!</v>
      </c>
      <c r="B12" t="e">
        <f>AND(#REF!,"AAAAAD+vPwE=")</f>
        <v>#REF!</v>
      </c>
      <c r="C12" t="e">
        <f>AND(#REF!,"AAAAAD+vPwI=")</f>
        <v>#REF!</v>
      </c>
      <c r="D12" t="e">
        <f>AND(#REF!,"AAAAAD+vPwM=")</f>
        <v>#REF!</v>
      </c>
      <c r="E12" t="e">
        <f>AND(#REF!,"AAAAAD+vPwQ=")</f>
        <v>#REF!</v>
      </c>
      <c r="F12" t="e">
        <f>IF(#REF!,"AAAAAD+vPwU=",0)</f>
        <v>#REF!</v>
      </c>
      <c r="G12" t="e">
        <f>AND(#REF!,"AAAAAD+vPwY=")</f>
        <v>#REF!</v>
      </c>
      <c r="H12" t="e">
        <f>AND(#REF!,"AAAAAD+vPwc=")</f>
        <v>#REF!</v>
      </c>
      <c r="I12" t="e">
        <f>AND(#REF!,"AAAAAD+vPwg=")</f>
        <v>#REF!</v>
      </c>
      <c r="J12" t="e">
        <f>AND(#REF!,"AAAAAD+vPwk=")</f>
        <v>#REF!</v>
      </c>
      <c r="K12" t="e">
        <f>AND(#REF!,"AAAAAD+vPwo=")</f>
        <v>#REF!</v>
      </c>
      <c r="L12" t="e">
        <f>AND(#REF!,"AAAAAD+vPws=")</f>
        <v>#REF!</v>
      </c>
      <c r="M12" t="e">
        <f>AND(#REF!,"AAAAAD+vPww=")</f>
        <v>#REF!</v>
      </c>
      <c r="N12" t="e">
        <f>AND(#REF!,"AAAAAD+vPw0=")</f>
        <v>#REF!</v>
      </c>
      <c r="O12" t="e">
        <f>AND(#REF!,"AAAAAD+vPw4=")</f>
        <v>#REF!</v>
      </c>
      <c r="P12" t="e">
        <f>IF(#REF!,"AAAAAD+vPw8=",0)</f>
        <v>#REF!</v>
      </c>
      <c r="Q12" t="e">
        <f>AND(#REF!,"AAAAAD+vPxA=")</f>
        <v>#REF!</v>
      </c>
      <c r="R12" t="e">
        <f>AND(#REF!,"AAAAAD+vPxE=")</f>
        <v>#REF!</v>
      </c>
      <c r="S12" t="e">
        <f>AND(#REF!,"AAAAAD+vPxI=")</f>
        <v>#REF!</v>
      </c>
      <c r="T12" t="e">
        <f>AND(#REF!,"AAAAAD+vPxM=")</f>
        <v>#REF!</v>
      </c>
      <c r="U12" t="e">
        <f>AND(#REF!,"AAAAAD+vPxQ=")</f>
        <v>#REF!</v>
      </c>
      <c r="V12" t="e">
        <f>AND(#REF!,"AAAAAD+vPxU=")</f>
        <v>#REF!</v>
      </c>
      <c r="W12" t="e">
        <f>AND(#REF!,"AAAAAD+vPxY=")</f>
        <v>#REF!</v>
      </c>
      <c r="X12" t="e">
        <f>AND(#REF!,"AAAAAD+vPxc=")</f>
        <v>#REF!</v>
      </c>
      <c r="Y12" t="e">
        <f>AND(#REF!,"AAAAAD+vPxg=")</f>
        <v>#REF!</v>
      </c>
      <c r="Z12" t="e">
        <f>IF(#REF!,"AAAAAD+vPxk=",0)</f>
        <v>#REF!</v>
      </c>
      <c r="AA12" t="e">
        <f>AND(#REF!,"AAAAAD+vPxo=")</f>
        <v>#REF!</v>
      </c>
      <c r="AB12" t="e">
        <f>AND(#REF!,"AAAAAD+vPxs=")</f>
        <v>#REF!</v>
      </c>
      <c r="AC12" t="e">
        <f>AND(#REF!,"AAAAAD+vPxw=")</f>
        <v>#REF!</v>
      </c>
      <c r="AD12" t="e">
        <f>AND(#REF!,"AAAAAD+vPx0=")</f>
        <v>#REF!</v>
      </c>
      <c r="AE12" t="e">
        <f>AND(#REF!,"AAAAAD+vPx4=")</f>
        <v>#REF!</v>
      </c>
      <c r="AF12" t="e">
        <f>AND(#REF!,"AAAAAD+vPx8=")</f>
        <v>#REF!</v>
      </c>
      <c r="AG12" t="e">
        <f>AND(#REF!,"AAAAAD+vPyA=")</f>
        <v>#REF!</v>
      </c>
      <c r="AH12" t="e">
        <f>AND(#REF!,"AAAAAD+vPyE=")</f>
        <v>#REF!</v>
      </c>
      <c r="AI12" t="e">
        <f>AND(#REF!,"AAAAAD+vPyI=")</f>
        <v>#REF!</v>
      </c>
      <c r="AJ12" t="e">
        <f>IF(#REF!,"AAAAAD+vPyM=",0)</f>
        <v>#REF!</v>
      </c>
      <c r="AK12" t="e">
        <f>AND(#REF!,"AAAAAD+vPyQ=")</f>
        <v>#REF!</v>
      </c>
      <c r="AL12" t="e">
        <f>AND(#REF!,"AAAAAD+vPyU=")</f>
        <v>#REF!</v>
      </c>
      <c r="AM12" t="e">
        <f>AND(#REF!,"AAAAAD+vPyY=")</f>
        <v>#REF!</v>
      </c>
      <c r="AN12" t="e">
        <f>AND(#REF!,"AAAAAD+vPyc=")</f>
        <v>#REF!</v>
      </c>
      <c r="AO12" t="e">
        <f>AND(#REF!,"AAAAAD+vPyg=")</f>
        <v>#REF!</v>
      </c>
      <c r="AP12" t="e">
        <f>AND(#REF!,"AAAAAD+vPyk=")</f>
        <v>#REF!</v>
      </c>
      <c r="AQ12" t="e">
        <f>AND(#REF!,"AAAAAD+vPyo=")</f>
        <v>#REF!</v>
      </c>
      <c r="AR12" t="e">
        <f>AND(#REF!,"AAAAAD+vPys=")</f>
        <v>#REF!</v>
      </c>
      <c r="AS12" t="e">
        <f>AND(#REF!,"AAAAAD+vPyw=")</f>
        <v>#REF!</v>
      </c>
      <c r="AT12" t="e">
        <f>IF(#REF!,"AAAAAD+vPy0=",0)</f>
        <v>#REF!</v>
      </c>
      <c r="AU12" t="e">
        <f>AND(#REF!,"AAAAAD+vPy4=")</f>
        <v>#REF!</v>
      </c>
      <c r="AV12" t="e">
        <f>AND(#REF!,"AAAAAD+vPy8=")</f>
        <v>#REF!</v>
      </c>
      <c r="AW12" t="e">
        <f>AND(#REF!,"AAAAAD+vPzA=")</f>
        <v>#REF!</v>
      </c>
      <c r="AX12" t="e">
        <f>AND(#REF!,"AAAAAD+vPzE=")</f>
        <v>#REF!</v>
      </c>
      <c r="AY12" t="e">
        <f>AND(#REF!,"AAAAAD+vPzI=")</f>
        <v>#REF!</v>
      </c>
      <c r="AZ12" t="e">
        <f>AND(#REF!,"AAAAAD+vPzM=")</f>
        <v>#REF!</v>
      </c>
      <c r="BA12" t="e">
        <f>AND(#REF!,"AAAAAD+vPzQ=")</f>
        <v>#REF!</v>
      </c>
      <c r="BB12" t="e">
        <f>AND(#REF!,"AAAAAD+vPzU=")</f>
        <v>#REF!</v>
      </c>
      <c r="BC12" t="e">
        <f>AND(#REF!,"AAAAAD+vPzY=")</f>
        <v>#REF!</v>
      </c>
      <c r="BD12" t="e">
        <f>IF(#REF!,"AAAAAD+vPzc=",0)</f>
        <v>#REF!</v>
      </c>
      <c r="BE12" t="e">
        <f>AND(#REF!,"AAAAAD+vPzg=")</f>
        <v>#REF!</v>
      </c>
      <c r="BF12" t="e">
        <f>AND(#REF!,"AAAAAD+vPzk=")</f>
        <v>#REF!</v>
      </c>
      <c r="BG12" t="e">
        <f>AND(#REF!,"AAAAAD+vPzo=")</f>
        <v>#REF!</v>
      </c>
      <c r="BH12" t="e">
        <f>AND(#REF!,"AAAAAD+vPzs=")</f>
        <v>#REF!</v>
      </c>
      <c r="BI12" t="e">
        <f>AND(#REF!,"AAAAAD+vPzw=")</f>
        <v>#REF!</v>
      </c>
      <c r="BJ12" t="e">
        <f>AND(#REF!,"AAAAAD+vPz0=")</f>
        <v>#REF!</v>
      </c>
      <c r="BK12" t="e">
        <f>AND(#REF!,"AAAAAD+vPz4=")</f>
        <v>#REF!</v>
      </c>
      <c r="BL12" t="e">
        <f>AND(#REF!,"AAAAAD+vPz8=")</f>
        <v>#REF!</v>
      </c>
      <c r="BM12" t="e">
        <f>AND(#REF!,"AAAAAD+vP0A=")</f>
        <v>#REF!</v>
      </c>
      <c r="BN12" t="e">
        <f>IF(#REF!,"AAAAAD+vP0E=",0)</f>
        <v>#REF!</v>
      </c>
      <c r="BO12" t="e">
        <f>AND(#REF!,"AAAAAD+vP0I=")</f>
        <v>#REF!</v>
      </c>
      <c r="BP12" t="e">
        <f>AND(#REF!,"AAAAAD+vP0M=")</f>
        <v>#REF!</v>
      </c>
      <c r="BQ12" t="e">
        <f>AND(#REF!,"AAAAAD+vP0Q=")</f>
        <v>#REF!</v>
      </c>
      <c r="BR12" t="e">
        <f>AND(#REF!,"AAAAAD+vP0U=")</f>
        <v>#REF!</v>
      </c>
      <c r="BS12" t="e">
        <f>AND(#REF!,"AAAAAD+vP0Y=")</f>
        <v>#REF!</v>
      </c>
      <c r="BT12" t="e">
        <f>AND(#REF!,"AAAAAD+vP0c=")</f>
        <v>#REF!</v>
      </c>
      <c r="BU12" t="e">
        <f>AND(#REF!,"AAAAAD+vP0g=")</f>
        <v>#REF!</v>
      </c>
      <c r="BV12" t="e">
        <f>AND(#REF!,"AAAAAD+vP0k=")</f>
        <v>#REF!</v>
      </c>
      <c r="BW12" t="e">
        <f>AND(#REF!,"AAAAAD+vP0o=")</f>
        <v>#REF!</v>
      </c>
      <c r="BX12" t="e">
        <f>IF(#REF!,"AAAAAD+vP0s=",0)</f>
        <v>#REF!</v>
      </c>
      <c r="BY12" t="e">
        <f>AND(#REF!,"AAAAAD+vP0w=")</f>
        <v>#REF!</v>
      </c>
      <c r="BZ12" t="e">
        <f>AND(#REF!,"AAAAAD+vP00=")</f>
        <v>#REF!</v>
      </c>
      <c r="CA12" t="e">
        <f>AND(#REF!,"AAAAAD+vP04=")</f>
        <v>#REF!</v>
      </c>
      <c r="CB12" t="e">
        <f>AND(#REF!,"AAAAAD+vP08=")</f>
        <v>#REF!</v>
      </c>
      <c r="CC12" t="e">
        <f>AND(#REF!,"AAAAAD+vP1A=")</f>
        <v>#REF!</v>
      </c>
      <c r="CD12" t="e">
        <f>AND(#REF!,"AAAAAD+vP1E=")</f>
        <v>#REF!</v>
      </c>
      <c r="CE12" t="e">
        <f>AND(#REF!,"AAAAAD+vP1I=")</f>
        <v>#REF!</v>
      </c>
      <c r="CF12" t="e">
        <f>AND(#REF!,"AAAAAD+vP1M=")</f>
        <v>#REF!</v>
      </c>
      <c r="CG12" t="e">
        <f>AND(#REF!,"AAAAAD+vP1Q=")</f>
        <v>#REF!</v>
      </c>
      <c r="CH12" t="e">
        <f>IF(#REF!,"AAAAAD+vP1U=",0)</f>
        <v>#REF!</v>
      </c>
      <c r="CI12" t="e">
        <f>AND(#REF!,"AAAAAD+vP1Y=")</f>
        <v>#REF!</v>
      </c>
      <c r="CJ12" t="e">
        <f>AND(#REF!,"AAAAAD+vP1c=")</f>
        <v>#REF!</v>
      </c>
      <c r="CK12" t="e">
        <f>AND(#REF!,"AAAAAD+vP1g=")</f>
        <v>#REF!</v>
      </c>
      <c r="CL12" t="e">
        <f>AND(#REF!,"AAAAAD+vP1k=")</f>
        <v>#REF!</v>
      </c>
      <c r="CM12" t="e">
        <f>AND(#REF!,"AAAAAD+vP1o=")</f>
        <v>#REF!</v>
      </c>
      <c r="CN12" t="e">
        <f>AND(#REF!,"AAAAAD+vP1s=")</f>
        <v>#REF!</v>
      </c>
      <c r="CO12" t="e">
        <f>AND(#REF!,"AAAAAD+vP1w=")</f>
        <v>#REF!</v>
      </c>
      <c r="CP12" t="e">
        <f>AND(#REF!,"AAAAAD+vP10=")</f>
        <v>#REF!</v>
      </c>
      <c r="CQ12" t="e">
        <f>AND(#REF!,"AAAAAD+vP14=")</f>
        <v>#REF!</v>
      </c>
      <c r="CR12" t="e">
        <f>IF(#REF!,"AAAAAD+vP18=",0)</f>
        <v>#REF!</v>
      </c>
      <c r="CS12" t="e">
        <f>AND(#REF!,"AAAAAD+vP2A=")</f>
        <v>#REF!</v>
      </c>
      <c r="CT12" t="e">
        <f>AND(#REF!,"AAAAAD+vP2E=")</f>
        <v>#REF!</v>
      </c>
      <c r="CU12" t="e">
        <f>AND(#REF!,"AAAAAD+vP2I=")</f>
        <v>#REF!</v>
      </c>
      <c r="CV12" t="e">
        <f>AND(#REF!,"AAAAAD+vP2M=")</f>
        <v>#REF!</v>
      </c>
      <c r="CW12" t="e">
        <f>AND(#REF!,"AAAAAD+vP2Q=")</f>
        <v>#REF!</v>
      </c>
      <c r="CX12" t="e">
        <f>AND(#REF!,"AAAAAD+vP2U=")</f>
        <v>#REF!</v>
      </c>
      <c r="CY12" t="e">
        <f>AND(#REF!,"AAAAAD+vP2Y=")</f>
        <v>#REF!</v>
      </c>
      <c r="CZ12" t="e">
        <f>AND(#REF!,"AAAAAD+vP2c=")</f>
        <v>#REF!</v>
      </c>
      <c r="DA12" t="e">
        <f>AND(#REF!,"AAAAAD+vP2g=")</f>
        <v>#REF!</v>
      </c>
      <c r="DB12" t="e">
        <f>IF(#REF!,"AAAAAD+vP2k=",0)</f>
        <v>#REF!</v>
      </c>
      <c r="DC12" t="e">
        <f>AND(#REF!,"AAAAAD+vP2o=")</f>
        <v>#REF!</v>
      </c>
      <c r="DD12" t="e">
        <f>AND(#REF!,"AAAAAD+vP2s=")</f>
        <v>#REF!</v>
      </c>
      <c r="DE12" t="e">
        <f>AND(#REF!,"AAAAAD+vP2w=")</f>
        <v>#REF!</v>
      </c>
      <c r="DF12" t="e">
        <f>AND(#REF!,"AAAAAD+vP20=")</f>
        <v>#REF!</v>
      </c>
      <c r="DG12" t="e">
        <f>AND(#REF!,"AAAAAD+vP24=")</f>
        <v>#REF!</v>
      </c>
      <c r="DH12" t="e">
        <f>AND(#REF!,"AAAAAD+vP28=")</f>
        <v>#REF!</v>
      </c>
      <c r="DI12" t="e">
        <f>AND(#REF!,"AAAAAD+vP3A=")</f>
        <v>#REF!</v>
      </c>
      <c r="DJ12" t="e">
        <f>AND(#REF!,"AAAAAD+vP3E=")</f>
        <v>#REF!</v>
      </c>
      <c r="DK12" t="e">
        <f>AND(#REF!,"AAAAAD+vP3I=")</f>
        <v>#REF!</v>
      </c>
      <c r="DL12" t="e">
        <f>IF(#REF!,"AAAAAD+vP3M=",0)</f>
        <v>#REF!</v>
      </c>
      <c r="DM12" t="e">
        <f>AND(#REF!,"AAAAAD+vP3Q=")</f>
        <v>#REF!</v>
      </c>
      <c r="DN12" t="e">
        <f>AND(#REF!,"AAAAAD+vP3U=")</f>
        <v>#REF!</v>
      </c>
      <c r="DO12" t="e">
        <f>AND(#REF!,"AAAAAD+vP3Y=")</f>
        <v>#REF!</v>
      </c>
      <c r="DP12" t="e">
        <f>AND(#REF!,"AAAAAD+vP3c=")</f>
        <v>#REF!</v>
      </c>
      <c r="DQ12" t="e">
        <f>AND(#REF!,"AAAAAD+vP3g=")</f>
        <v>#REF!</v>
      </c>
      <c r="DR12" t="e">
        <f>AND(#REF!,"AAAAAD+vP3k=")</f>
        <v>#REF!</v>
      </c>
      <c r="DS12" t="e">
        <f>AND(#REF!,"AAAAAD+vP3o=")</f>
        <v>#REF!</v>
      </c>
      <c r="DT12" t="e">
        <f>AND(#REF!,"AAAAAD+vP3s=")</f>
        <v>#REF!</v>
      </c>
      <c r="DU12" t="e">
        <f>AND(#REF!,"AAAAAD+vP3w=")</f>
        <v>#REF!</v>
      </c>
      <c r="DV12" t="e">
        <f>IF(#REF!,"AAAAAD+vP30=",0)</f>
        <v>#REF!</v>
      </c>
      <c r="DW12" t="e">
        <f>AND(#REF!,"AAAAAD+vP34=")</f>
        <v>#REF!</v>
      </c>
      <c r="DX12" t="e">
        <f>AND(#REF!,"AAAAAD+vP38=")</f>
        <v>#REF!</v>
      </c>
      <c r="DY12" t="e">
        <f>AND(#REF!,"AAAAAD+vP4A=")</f>
        <v>#REF!</v>
      </c>
      <c r="DZ12" t="e">
        <f>AND(#REF!,"AAAAAD+vP4E=")</f>
        <v>#REF!</v>
      </c>
      <c r="EA12" t="e">
        <f>AND(#REF!,"AAAAAD+vP4I=")</f>
        <v>#REF!</v>
      </c>
      <c r="EB12" t="e">
        <f>AND(#REF!,"AAAAAD+vP4M=")</f>
        <v>#REF!</v>
      </c>
      <c r="EC12" t="e">
        <f>AND(#REF!,"AAAAAD+vP4Q=")</f>
        <v>#REF!</v>
      </c>
      <c r="ED12" t="e">
        <f>AND(#REF!,"AAAAAD+vP4U=")</f>
        <v>#REF!</v>
      </c>
      <c r="EE12" t="e">
        <f>AND(#REF!,"AAAAAD+vP4Y=")</f>
        <v>#REF!</v>
      </c>
      <c r="EF12" t="e">
        <f>IF(#REF!,"AAAAAD+vP4c=",0)</f>
        <v>#REF!</v>
      </c>
      <c r="EG12" t="e">
        <f>AND(#REF!,"AAAAAD+vP4g=")</f>
        <v>#REF!</v>
      </c>
      <c r="EH12" t="e">
        <f>AND(#REF!,"AAAAAD+vP4k=")</f>
        <v>#REF!</v>
      </c>
      <c r="EI12" t="e">
        <f>AND(#REF!,"AAAAAD+vP4o=")</f>
        <v>#REF!</v>
      </c>
      <c r="EJ12" t="e">
        <f>AND(#REF!,"AAAAAD+vP4s=")</f>
        <v>#REF!</v>
      </c>
      <c r="EK12" t="e">
        <f>AND(#REF!,"AAAAAD+vP4w=")</f>
        <v>#REF!</v>
      </c>
      <c r="EL12" t="e">
        <f>AND(#REF!,"AAAAAD+vP40=")</f>
        <v>#REF!</v>
      </c>
      <c r="EM12" t="e">
        <f>AND(#REF!,"AAAAAD+vP44=")</f>
        <v>#REF!</v>
      </c>
      <c r="EN12" t="e">
        <f>AND(#REF!,"AAAAAD+vP48=")</f>
        <v>#REF!</v>
      </c>
      <c r="EO12" t="e">
        <f>AND(#REF!,"AAAAAD+vP5A=")</f>
        <v>#REF!</v>
      </c>
      <c r="EP12" t="e">
        <f>IF(#REF!,"AAAAAD+vP5E=",0)</f>
        <v>#REF!</v>
      </c>
      <c r="EQ12" t="e">
        <f>AND(#REF!,"AAAAAD+vP5I=")</f>
        <v>#REF!</v>
      </c>
      <c r="ER12" t="e">
        <f>AND(#REF!,"AAAAAD+vP5M=")</f>
        <v>#REF!</v>
      </c>
      <c r="ES12" t="e">
        <f>AND(#REF!,"AAAAAD+vP5Q=")</f>
        <v>#REF!</v>
      </c>
      <c r="ET12" t="e">
        <f>AND(#REF!,"AAAAAD+vP5U=")</f>
        <v>#REF!</v>
      </c>
      <c r="EU12" t="e">
        <f>AND(#REF!,"AAAAAD+vP5Y=")</f>
        <v>#REF!</v>
      </c>
      <c r="EV12" t="e">
        <f>AND(#REF!,"AAAAAD+vP5c=")</f>
        <v>#REF!</v>
      </c>
      <c r="EW12" t="e">
        <f>AND(#REF!,"AAAAAD+vP5g=")</f>
        <v>#REF!</v>
      </c>
      <c r="EX12" t="e">
        <f>AND(#REF!,"AAAAAD+vP5k=")</f>
        <v>#REF!</v>
      </c>
      <c r="EY12" t="e">
        <f>AND(#REF!,"AAAAAD+vP5o=")</f>
        <v>#REF!</v>
      </c>
      <c r="EZ12" t="e">
        <f>IF(#REF!,"AAAAAD+vP5s=",0)</f>
        <v>#REF!</v>
      </c>
      <c r="FA12" t="e">
        <f>AND(#REF!,"AAAAAD+vP5w=")</f>
        <v>#REF!</v>
      </c>
      <c r="FB12" t="e">
        <f>AND(#REF!,"AAAAAD+vP50=")</f>
        <v>#REF!</v>
      </c>
      <c r="FC12" t="e">
        <f>AND(#REF!,"AAAAAD+vP54=")</f>
        <v>#REF!</v>
      </c>
      <c r="FD12" t="e">
        <f>AND(#REF!,"AAAAAD+vP58=")</f>
        <v>#REF!</v>
      </c>
      <c r="FE12" t="e">
        <f>AND(#REF!,"AAAAAD+vP6A=")</f>
        <v>#REF!</v>
      </c>
      <c r="FF12" t="e">
        <f>AND(#REF!,"AAAAAD+vP6E=")</f>
        <v>#REF!</v>
      </c>
      <c r="FG12" t="e">
        <f>AND(#REF!,"AAAAAD+vP6I=")</f>
        <v>#REF!</v>
      </c>
      <c r="FH12" t="e">
        <f>AND(#REF!,"AAAAAD+vP6M=")</f>
        <v>#REF!</v>
      </c>
      <c r="FI12" t="e">
        <f>AND(#REF!,"AAAAAD+vP6Q=")</f>
        <v>#REF!</v>
      </c>
      <c r="FJ12" t="e">
        <f>IF(#REF!,"AAAAAD+vP6U=",0)</f>
        <v>#REF!</v>
      </c>
      <c r="FK12" t="e">
        <f>AND(#REF!,"AAAAAD+vP6Y=")</f>
        <v>#REF!</v>
      </c>
      <c r="FL12" t="e">
        <f>AND(#REF!,"AAAAAD+vP6c=")</f>
        <v>#REF!</v>
      </c>
      <c r="FM12" t="e">
        <f>AND(#REF!,"AAAAAD+vP6g=")</f>
        <v>#REF!</v>
      </c>
      <c r="FN12" t="e">
        <f>AND(#REF!,"AAAAAD+vP6k=")</f>
        <v>#REF!</v>
      </c>
      <c r="FO12" t="e">
        <f>AND(#REF!,"AAAAAD+vP6o=")</f>
        <v>#REF!</v>
      </c>
      <c r="FP12" t="e">
        <f>AND(#REF!,"AAAAAD+vP6s=")</f>
        <v>#REF!</v>
      </c>
      <c r="FQ12" t="e">
        <f>AND(#REF!,"AAAAAD+vP6w=")</f>
        <v>#REF!</v>
      </c>
      <c r="FR12" t="e">
        <f>AND(#REF!,"AAAAAD+vP60=")</f>
        <v>#REF!</v>
      </c>
      <c r="FS12" t="e">
        <f>AND(#REF!,"AAAAAD+vP64=")</f>
        <v>#REF!</v>
      </c>
      <c r="FT12" t="e">
        <f>IF(#REF!,"AAAAAD+vP68=",0)</f>
        <v>#REF!</v>
      </c>
      <c r="FU12" t="e">
        <f>AND(#REF!,"AAAAAD+vP7A=")</f>
        <v>#REF!</v>
      </c>
      <c r="FV12" t="e">
        <f>AND(#REF!,"AAAAAD+vP7E=")</f>
        <v>#REF!</v>
      </c>
      <c r="FW12" t="e">
        <f>AND(#REF!,"AAAAAD+vP7I=")</f>
        <v>#REF!</v>
      </c>
      <c r="FX12" t="e">
        <f>AND(#REF!,"AAAAAD+vP7M=")</f>
        <v>#REF!</v>
      </c>
      <c r="FY12" t="e">
        <f>AND(#REF!,"AAAAAD+vP7Q=")</f>
        <v>#REF!</v>
      </c>
      <c r="FZ12" t="e">
        <f>AND(#REF!,"AAAAAD+vP7U=")</f>
        <v>#REF!</v>
      </c>
      <c r="GA12" t="e">
        <f>AND(#REF!,"AAAAAD+vP7Y=")</f>
        <v>#REF!</v>
      </c>
      <c r="GB12" t="e">
        <f>AND(#REF!,"AAAAAD+vP7c=")</f>
        <v>#REF!</v>
      </c>
      <c r="GC12" t="e">
        <f>AND(#REF!,"AAAAAD+vP7g=")</f>
        <v>#REF!</v>
      </c>
      <c r="GD12" t="e">
        <f>IF(#REF!,"AAAAAD+vP7k=",0)</f>
        <v>#REF!</v>
      </c>
      <c r="GE12" t="e">
        <f>IF(#REF!,"AAAAAD+vP7o=",0)</f>
        <v>#REF!</v>
      </c>
      <c r="GF12" t="e">
        <f>IF(#REF!,"AAAAAD+vP7s=",0)</f>
        <v>#REF!</v>
      </c>
      <c r="GG12" t="e">
        <f>IF(#REF!,"AAAAAD+vP7w=",0)</f>
        <v>#REF!</v>
      </c>
      <c r="GH12" t="e">
        <f>IF(#REF!,"AAAAAD+vP70=",0)</f>
        <v>#REF!</v>
      </c>
      <c r="GI12" t="e">
        <f>IF(#REF!,"AAAAAD+vP74=",0)</f>
        <v>#REF!</v>
      </c>
      <c r="GJ12" t="e">
        <f>IF(#REF!,"AAAAAD+vP78=",0)</f>
        <v>#REF!</v>
      </c>
      <c r="GK12" t="e">
        <f>IF(#REF!,"AAAAAD+vP8A=",0)</f>
        <v>#REF!</v>
      </c>
      <c r="GL12" t="e">
        <f>IF(#REF!,"AAAAAD+vP8E=",0)</f>
        <v>#REF!</v>
      </c>
      <c r="GM12" t="e">
        <f>IF(#REF!,"AAAAAD+vP8I=",0)</f>
        <v>#REF!</v>
      </c>
      <c r="GN12" t="e">
        <f>IF(#REF!,"AAAAAD+vP8M=",0)</f>
        <v>#REF!</v>
      </c>
      <c r="GO12" t="e">
        <f>AND(#REF!,"AAAAAD+vP8Q=")</f>
        <v>#REF!</v>
      </c>
      <c r="GP12" t="e">
        <f>AND(#REF!,"AAAAAD+vP8U=")</f>
        <v>#REF!</v>
      </c>
      <c r="GQ12" t="e">
        <f>AND(#REF!,"AAAAAD+vP8Y=")</f>
        <v>#REF!</v>
      </c>
      <c r="GR12" t="e">
        <f>AND(#REF!,"AAAAAD+vP8c=")</f>
        <v>#REF!</v>
      </c>
      <c r="GS12" t="e">
        <f>AND(#REF!,"AAAAAD+vP8g=")</f>
        <v>#REF!</v>
      </c>
      <c r="GT12" t="e">
        <f>AND(#REF!,"AAAAAD+vP8k=")</f>
        <v>#REF!</v>
      </c>
      <c r="GU12" t="e">
        <f>AND(#REF!,"AAAAAD+vP8o=")</f>
        <v>#REF!</v>
      </c>
      <c r="GV12" t="e">
        <f>AND(#REF!,"AAAAAD+vP8s=")</f>
        <v>#REF!</v>
      </c>
      <c r="GW12" t="e">
        <f>AND(#REF!,"AAAAAD+vP8w=")</f>
        <v>#REF!</v>
      </c>
      <c r="GX12" t="e">
        <f>IF(#REF!,"AAAAAD+vP80=",0)</f>
        <v>#REF!</v>
      </c>
      <c r="GY12" t="e">
        <f>AND(#REF!,"AAAAAD+vP84=")</f>
        <v>#REF!</v>
      </c>
      <c r="GZ12" t="e">
        <f>AND(#REF!,"AAAAAD+vP88=")</f>
        <v>#REF!</v>
      </c>
      <c r="HA12" t="e">
        <f>AND(#REF!,"AAAAAD+vP9A=")</f>
        <v>#REF!</v>
      </c>
      <c r="HB12" t="e">
        <f>AND(#REF!,"AAAAAD+vP9E=")</f>
        <v>#REF!</v>
      </c>
      <c r="HC12" t="e">
        <f>AND(#REF!,"AAAAAD+vP9I=")</f>
        <v>#REF!</v>
      </c>
      <c r="HD12" t="e">
        <f>AND(#REF!,"AAAAAD+vP9M=")</f>
        <v>#REF!</v>
      </c>
      <c r="HE12" t="e">
        <f>AND(#REF!,"AAAAAD+vP9Q=")</f>
        <v>#REF!</v>
      </c>
      <c r="HF12" t="e">
        <f>AND(#REF!,"AAAAAD+vP9U=")</f>
        <v>#REF!</v>
      </c>
      <c r="HG12" t="e">
        <f>AND(#REF!,"AAAAAD+vP9Y=")</f>
        <v>#REF!</v>
      </c>
      <c r="HH12" t="e">
        <f>IF(#REF!,"AAAAAD+vP9c=",0)</f>
        <v>#REF!</v>
      </c>
      <c r="HI12" t="e">
        <f>AND(#REF!,"AAAAAD+vP9g=")</f>
        <v>#REF!</v>
      </c>
      <c r="HJ12" t="e">
        <f>AND(#REF!,"AAAAAD+vP9k=")</f>
        <v>#REF!</v>
      </c>
      <c r="HK12" t="e">
        <f>AND(#REF!,"AAAAAD+vP9o=")</f>
        <v>#REF!</v>
      </c>
      <c r="HL12" t="e">
        <f>AND(#REF!,"AAAAAD+vP9s=")</f>
        <v>#REF!</v>
      </c>
      <c r="HM12" t="e">
        <f>AND(#REF!,"AAAAAD+vP9w=")</f>
        <v>#REF!</v>
      </c>
      <c r="HN12" t="e">
        <f>AND(#REF!,"AAAAAD+vP90=")</f>
        <v>#REF!</v>
      </c>
      <c r="HO12" t="e">
        <f>AND(#REF!,"AAAAAD+vP94=")</f>
        <v>#REF!</v>
      </c>
      <c r="HP12" t="e">
        <f>AND(#REF!,"AAAAAD+vP98=")</f>
        <v>#REF!</v>
      </c>
      <c r="HQ12" t="e">
        <f>AND(#REF!,"AAAAAD+vP+A=")</f>
        <v>#REF!</v>
      </c>
      <c r="HR12" t="e">
        <f>IF(#REF!,"AAAAAD+vP+E=",0)</f>
        <v>#REF!</v>
      </c>
      <c r="HS12" t="e">
        <f>AND(#REF!,"AAAAAD+vP+I=")</f>
        <v>#REF!</v>
      </c>
      <c r="HT12" t="e">
        <f>AND(#REF!,"AAAAAD+vP+M=")</f>
        <v>#REF!</v>
      </c>
      <c r="HU12" t="e">
        <f>AND(#REF!,"AAAAAD+vP+Q=")</f>
        <v>#REF!</v>
      </c>
      <c r="HV12" t="e">
        <f>AND(#REF!,"AAAAAD+vP+U=")</f>
        <v>#REF!</v>
      </c>
      <c r="HW12" t="e">
        <f>AND(#REF!,"AAAAAD+vP+Y=")</f>
        <v>#REF!</v>
      </c>
      <c r="HX12" t="e">
        <f>AND(#REF!,"AAAAAD+vP+c=")</f>
        <v>#REF!</v>
      </c>
      <c r="HY12" t="e">
        <f>AND(#REF!,"AAAAAD+vP+g=")</f>
        <v>#REF!</v>
      </c>
      <c r="HZ12" t="e">
        <f>AND(#REF!,"AAAAAD+vP+k=")</f>
        <v>#REF!</v>
      </c>
      <c r="IA12" t="e">
        <f>AND(#REF!,"AAAAAD+vP+o=")</f>
        <v>#REF!</v>
      </c>
      <c r="IB12" t="e">
        <f>IF(#REF!,"AAAAAD+vP+s=",0)</f>
        <v>#REF!</v>
      </c>
      <c r="IC12" t="e">
        <f>AND(#REF!,"AAAAAD+vP+w=")</f>
        <v>#REF!</v>
      </c>
      <c r="ID12" t="e">
        <f>AND(#REF!,"AAAAAD+vP+0=")</f>
        <v>#REF!</v>
      </c>
      <c r="IE12" t="e">
        <f>AND(#REF!,"AAAAAD+vP+4=")</f>
        <v>#REF!</v>
      </c>
      <c r="IF12" t="e">
        <f>AND(#REF!,"AAAAAD+vP+8=")</f>
        <v>#REF!</v>
      </c>
      <c r="IG12" t="e">
        <f>AND(#REF!,"AAAAAD+vP/A=")</f>
        <v>#REF!</v>
      </c>
      <c r="IH12" t="e">
        <f>AND(#REF!,"AAAAAD+vP/E=")</f>
        <v>#REF!</v>
      </c>
      <c r="II12" t="e">
        <f>AND(#REF!,"AAAAAD+vP/I=")</f>
        <v>#REF!</v>
      </c>
      <c r="IJ12" t="e">
        <f>AND(#REF!,"AAAAAD+vP/M=")</f>
        <v>#REF!</v>
      </c>
      <c r="IK12" t="e">
        <f>AND(#REF!,"AAAAAD+vP/Q=")</f>
        <v>#REF!</v>
      </c>
      <c r="IL12" t="e">
        <f>IF(#REF!,"AAAAAD+vP/U=",0)</f>
        <v>#REF!</v>
      </c>
      <c r="IM12" t="e">
        <f>AND(#REF!,"AAAAAD+vP/Y=")</f>
        <v>#REF!</v>
      </c>
      <c r="IN12" t="e">
        <f>AND(#REF!,"AAAAAD+vP/c=")</f>
        <v>#REF!</v>
      </c>
      <c r="IO12" t="e">
        <f>AND(#REF!,"AAAAAD+vP/g=")</f>
        <v>#REF!</v>
      </c>
      <c r="IP12" t="e">
        <f>AND(#REF!,"AAAAAD+vP/k=")</f>
        <v>#REF!</v>
      </c>
      <c r="IQ12" t="e">
        <f>AND(#REF!,"AAAAAD+vP/o=")</f>
        <v>#REF!</v>
      </c>
      <c r="IR12" t="e">
        <f>AND(#REF!,"AAAAAD+vP/s=")</f>
        <v>#REF!</v>
      </c>
      <c r="IS12" t="e">
        <f>AND(#REF!,"AAAAAD+vP/w=")</f>
        <v>#REF!</v>
      </c>
      <c r="IT12" t="e">
        <f>AND(#REF!,"AAAAAD+vP/0=")</f>
        <v>#REF!</v>
      </c>
      <c r="IU12" t="e">
        <f>AND(#REF!,"AAAAAD+vP/4=")</f>
        <v>#REF!</v>
      </c>
      <c r="IV12" t="e">
        <f>IF(#REF!,"AAAAAD+vP/8=",0)</f>
        <v>#REF!</v>
      </c>
    </row>
    <row r="13" spans="1:256" ht="12.75">
      <c r="A13" t="e">
        <f>AND(#REF!,"AAAAAHr/3wA=")</f>
        <v>#REF!</v>
      </c>
      <c r="B13" t="e">
        <f>AND(#REF!,"AAAAAHr/3wE=")</f>
        <v>#REF!</v>
      </c>
      <c r="C13" t="e">
        <f>AND(#REF!,"AAAAAHr/3wI=")</f>
        <v>#REF!</v>
      </c>
      <c r="D13" t="e">
        <f>AND(#REF!,"AAAAAHr/3wM=")</f>
        <v>#REF!</v>
      </c>
      <c r="E13" t="e">
        <f>AND(#REF!,"AAAAAHr/3wQ=")</f>
        <v>#REF!</v>
      </c>
      <c r="F13" t="e">
        <f>AND(#REF!,"AAAAAHr/3wU=")</f>
        <v>#REF!</v>
      </c>
      <c r="G13" t="e">
        <f>AND(#REF!,"AAAAAHr/3wY=")</f>
        <v>#REF!</v>
      </c>
      <c r="H13" t="e">
        <f>AND(#REF!,"AAAAAHr/3wc=")</f>
        <v>#REF!</v>
      </c>
      <c r="I13" t="e">
        <f>AND(#REF!,"AAAAAHr/3wg=")</f>
        <v>#REF!</v>
      </c>
      <c r="J13" t="e">
        <f>IF(#REF!,"AAAAAHr/3wk=",0)</f>
        <v>#REF!</v>
      </c>
      <c r="K13" t="e">
        <f>AND(#REF!,"AAAAAHr/3wo=")</f>
        <v>#REF!</v>
      </c>
      <c r="L13" t="e">
        <f>AND(#REF!,"AAAAAHr/3ws=")</f>
        <v>#REF!</v>
      </c>
      <c r="M13" t="e">
        <f>AND(#REF!,"AAAAAHr/3ww=")</f>
        <v>#REF!</v>
      </c>
      <c r="N13" t="e">
        <f>AND(#REF!,"AAAAAHr/3w0=")</f>
        <v>#REF!</v>
      </c>
      <c r="O13" t="e">
        <f>AND(#REF!,"AAAAAHr/3w4=")</f>
        <v>#REF!</v>
      </c>
      <c r="P13" t="e">
        <f>AND(#REF!,"AAAAAHr/3w8=")</f>
        <v>#REF!</v>
      </c>
      <c r="Q13" t="e">
        <f>AND(#REF!,"AAAAAHr/3xA=")</f>
        <v>#REF!</v>
      </c>
      <c r="R13" t="e">
        <f>AND(#REF!,"AAAAAHr/3xE=")</f>
        <v>#REF!</v>
      </c>
      <c r="S13" t="e">
        <f>AND(#REF!,"AAAAAHr/3xI=")</f>
        <v>#REF!</v>
      </c>
      <c r="T13" t="e">
        <f>IF(#REF!,"AAAAAHr/3xM=",0)</f>
        <v>#REF!</v>
      </c>
      <c r="U13" t="e">
        <f>AND(#REF!,"AAAAAHr/3xQ=")</f>
        <v>#REF!</v>
      </c>
      <c r="V13" t="e">
        <f>AND(#REF!,"AAAAAHr/3xU=")</f>
        <v>#REF!</v>
      </c>
      <c r="W13" t="e">
        <f>AND(#REF!,"AAAAAHr/3xY=")</f>
        <v>#REF!</v>
      </c>
      <c r="X13" t="e">
        <f>AND(#REF!,"AAAAAHr/3xc=")</f>
        <v>#REF!</v>
      </c>
      <c r="Y13" t="e">
        <f>AND(#REF!,"AAAAAHr/3xg=")</f>
        <v>#REF!</v>
      </c>
      <c r="Z13" t="e">
        <f>AND(#REF!,"AAAAAHr/3xk=")</f>
        <v>#REF!</v>
      </c>
      <c r="AA13" t="e">
        <f>AND(#REF!,"AAAAAHr/3xo=")</f>
        <v>#REF!</v>
      </c>
      <c r="AB13" t="e">
        <f>AND(#REF!,"AAAAAHr/3xs=")</f>
        <v>#REF!</v>
      </c>
      <c r="AC13" t="e">
        <f>AND(#REF!,"AAAAAHr/3xw=")</f>
        <v>#REF!</v>
      </c>
      <c r="AD13" t="e">
        <f>IF(#REF!,"AAAAAHr/3x0=",0)</f>
        <v>#REF!</v>
      </c>
      <c r="AE13" t="e">
        <f>AND(#REF!,"AAAAAHr/3x4=")</f>
        <v>#REF!</v>
      </c>
      <c r="AF13" t="e">
        <f>AND(#REF!,"AAAAAHr/3x8=")</f>
        <v>#REF!</v>
      </c>
      <c r="AG13" t="e">
        <f>AND(#REF!,"AAAAAHr/3yA=")</f>
        <v>#REF!</v>
      </c>
      <c r="AH13" t="e">
        <f>AND(#REF!,"AAAAAHr/3yE=")</f>
        <v>#REF!</v>
      </c>
      <c r="AI13" t="e">
        <f>AND(#REF!,"AAAAAHr/3yI=")</f>
        <v>#REF!</v>
      </c>
      <c r="AJ13" t="e">
        <f>AND(#REF!,"AAAAAHr/3yM=")</f>
        <v>#REF!</v>
      </c>
      <c r="AK13" t="e">
        <f>AND(#REF!,"AAAAAHr/3yQ=")</f>
        <v>#REF!</v>
      </c>
      <c r="AL13" t="e">
        <f>AND(#REF!,"AAAAAHr/3yU=")</f>
        <v>#REF!</v>
      </c>
      <c r="AM13" t="e">
        <f>AND(#REF!,"AAAAAHr/3yY=")</f>
        <v>#REF!</v>
      </c>
      <c r="AN13" t="e">
        <f>IF(#REF!,"AAAAAHr/3yc=",0)</f>
        <v>#REF!</v>
      </c>
      <c r="AO13" t="e">
        <f>AND(#REF!,"AAAAAHr/3yg=")</f>
        <v>#REF!</v>
      </c>
      <c r="AP13" t="e">
        <f>AND(#REF!,"AAAAAHr/3yk=")</f>
        <v>#REF!</v>
      </c>
      <c r="AQ13" t="e">
        <f>AND(#REF!,"AAAAAHr/3yo=")</f>
        <v>#REF!</v>
      </c>
      <c r="AR13" t="e">
        <f>AND(#REF!,"AAAAAHr/3ys=")</f>
        <v>#REF!</v>
      </c>
      <c r="AS13" t="e">
        <f>AND(#REF!,"AAAAAHr/3yw=")</f>
        <v>#REF!</v>
      </c>
      <c r="AT13" t="e">
        <f>AND(#REF!,"AAAAAHr/3y0=")</f>
        <v>#REF!</v>
      </c>
      <c r="AU13" t="e">
        <f>AND(#REF!,"AAAAAHr/3y4=")</f>
        <v>#REF!</v>
      </c>
      <c r="AV13" t="e">
        <f>AND(#REF!,"AAAAAHr/3y8=")</f>
        <v>#REF!</v>
      </c>
      <c r="AW13" t="e">
        <f>AND(#REF!,"AAAAAHr/3zA=")</f>
        <v>#REF!</v>
      </c>
      <c r="AX13" t="e">
        <f>IF(#REF!,"AAAAAHr/3zE=",0)</f>
        <v>#REF!</v>
      </c>
      <c r="AY13" t="e">
        <f>AND(#REF!,"AAAAAHr/3zI=")</f>
        <v>#REF!</v>
      </c>
      <c r="AZ13" t="e">
        <f>AND(#REF!,"AAAAAHr/3zM=")</f>
        <v>#REF!</v>
      </c>
      <c r="BA13" t="e">
        <f>AND(#REF!,"AAAAAHr/3zQ=")</f>
        <v>#REF!</v>
      </c>
      <c r="BB13" t="e">
        <f>AND(#REF!,"AAAAAHr/3zU=")</f>
        <v>#REF!</v>
      </c>
      <c r="BC13" t="e">
        <f>AND(#REF!,"AAAAAHr/3zY=")</f>
        <v>#REF!</v>
      </c>
      <c r="BD13" t="e">
        <f>AND(#REF!,"AAAAAHr/3zc=")</f>
        <v>#REF!</v>
      </c>
      <c r="BE13" t="e">
        <f>AND(#REF!,"AAAAAHr/3zg=")</f>
        <v>#REF!</v>
      </c>
      <c r="BF13" t="e">
        <f>AND(#REF!,"AAAAAHr/3zk=")</f>
        <v>#REF!</v>
      </c>
      <c r="BG13" t="e">
        <f>AND(#REF!,"AAAAAHr/3zo=")</f>
        <v>#REF!</v>
      </c>
      <c r="BH13" t="e">
        <f>IF(#REF!,"AAAAAHr/3zs=",0)</f>
        <v>#REF!</v>
      </c>
      <c r="BI13" t="e">
        <f>AND(#REF!,"AAAAAHr/3zw=")</f>
        <v>#REF!</v>
      </c>
      <c r="BJ13" t="e">
        <f>AND(#REF!,"AAAAAHr/3z0=")</f>
        <v>#REF!</v>
      </c>
      <c r="BK13" t="e">
        <f>AND(#REF!,"AAAAAHr/3z4=")</f>
        <v>#REF!</v>
      </c>
      <c r="BL13" t="e">
        <f>AND(#REF!,"AAAAAHr/3z8=")</f>
        <v>#REF!</v>
      </c>
      <c r="BM13" t="e">
        <f>AND(#REF!,"AAAAAHr/30A=")</f>
        <v>#REF!</v>
      </c>
      <c r="BN13" t="e">
        <f>AND(#REF!,"AAAAAHr/30E=")</f>
        <v>#REF!</v>
      </c>
      <c r="BO13" t="e">
        <f>AND(#REF!,"AAAAAHr/30I=")</f>
        <v>#REF!</v>
      </c>
      <c r="BP13" t="e">
        <f>AND(#REF!,"AAAAAHr/30M=")</f>
        <v>#REF!</v>
      </c>
      <c r="BQ13" t="e">
        <f>AND(#REF!,"AAAAAHr/30Q=")</f>
        <v>#REF!</v>
      </c>
      <c r="BR13" t="e">
        <f>IF(#REF!,"AAAAAHr/30U=",0)</f>
        <v>#REF!</v>
      </c>
      <c r="BS13" t="e">
        <f>AND(#REF!,"AAAAAHr/30Y=")</f>
        <v>#REF!</v>
      </c>
      <c r="BT13" t="e">
        <f>AND(#REF!,"AAAAAHr/30c=")</f>
        <v>#REF!</v>
      </c>
      <c r="BU13" t="e">
        <f>AND(#REF!,"AAAAAHr/30g=")</f>
        <v>#REF!</v>
      </c>
      <c r="BV13" t="e">
        <f>AND(#REF!,"AAAAAHr/30k=")</f>
        <v>#REF!</v>
      </c>
      <c r="BW13" t="e">
        <f>AND(#REF!,"AAAAAHr/30o=")</f>
        <v>#REF!</v>
      </c>
      <c r="BX13" t="e">
        <f>AND(#REF!,"AAAAAHr/30s=")</f>
        <v>#REF!</v>
      </c>
      <c r="BY13" t="e">
        <f>AND(#REF!,"AAAAAHr/30w=")</f>
        <v>#REF!</v>
      </c>
      <c r="BZ13" t="e">
        <f>AND(#REF!,"AAAAAHr/300=")</f>
        <v>#REF!</v>
      </c>
      <c r="CA13" t="e">
        <f>AND(#REF!,"AAAAAHr/304=")</f>
        <v>#REF!</v>
      </c>
      <c r="CB13" t="e">
        <f>IF(#REF!,"AAAAAHr/308=",0)</f>
        <v>#REF!</v>
      </c>
      <c r="CC13" t="e">
        <f>AND(#REF!,"AAAAAHr/31A=")</f>
        <v>#REF!</v>
      </c>
      <c r="CD13" t="e">
        <f>AND(#REF!,"AAAAAHr/31E=")</f>
        <v>#REF!</v>
      </c>
      <c r="CE13" t="e">
        <f>AND(#REF!,"AAAAAHr/31I=")</f>
        <v>#REF!</v>
      </c>
      <c r="CF13" t="e">
        <f>AND(#REF!,"AAAAAHr/31M=")</f>
        <v>#REF!</v>
      </c>
      <c r="CG13" t="e">
        <f>AND(#REF!,"AAAAAHr/31Q=")</f>
        <v>#REF!</v>
      </c>
      <c r="CH13" t="e">
        <f>AND(#REF!,"AAAAAHr/31U=")</f>
        <v>#REF!</v>
      </c>
      <c r="CI13" t="e">
        <f>AND(#REF!,"AAAAAHr/31Y=")</f>
        <v>#REF!</v>
      </c>
      <c r="CJ13" t="e">
        <f>AND(#REF!,"AAAAAHr/31c=")</f>
        <v>#REF!</v>
      </c>
      <c r="CK13" t="e">
        <f>AND(#REF!,"AAAAAHr/31g=")</f>
        <v>#REF!</v>
      </c>
      <c r="CL13" t="e">
        <f>IF(#REF!,"AAAAAHr/31k=",0)</f>
        <v>#REF!</v>
      </c>
      <c r="CM13" t="e">
        <f>AND(#REF!,"AAAAAHr/31o=")</f>
        <v>#REF!</v>
      </c>
      <c r="CN13" t="e">
        <f>AND(#REF!,"AAAAAHr/31s=")</f>
        <v>#REF!</v>
      </c>
      <c r="CO13" t="e">
        <f>AND(#REF!,"AAAAAHr/31w=")</f>
        <v>#REF!</v>
      </c>
      <c r="CP13" t="e">
        <f>AND(#REF!,"AAAAAHr/310=")</f>
        <v>#REF!</v>
      </c>
      <c r="CQ13" t="e">
        <f>AND(#REF!,"AAAAAHr/314=")</f>
        <v>#REF!</v>
      </c>
      <c r="CR13" t="e">
        <f>AND(#REF!,"AAAAAHr/318=")</f>
        <v>#REF!</v>
      </c>
      <c r="CS13" t="e">
        <f>AND(#REF!,"AAAAAHr/32A=")</f>
        <v>#REF!</v>
      </c>
      <c r="CT13" t="e">
        <f>AND(#REF!,"AAAAAHr/32E=")</f>
        <v>#REF!</v>
      </c>
      <c r="CU13" t="e">
        <f>AND(#REF!,"AAAAAHr/32I=")</f>
        <v>#REF!</v>
      </c>
      <c r="CV13" t="e">
        <f>IF(#REF!,"AAAAAHr/32M=",0)</f>
        <v>#REF!</v>
      </c>
      <c r="CW13" t="e">
        <f>AND(#REF!,"AAAAAHr/32Q=")</f>
        <v>#REF!</v>
      </c>
      <c r="CX13" t="e">
        <f>AND(#REF!,"AAAAAHr/32U=")</f>
        <v>#REF!</v>
      </c>
      <c r="CY13" t="e">
        <f>AND(#REF!,"AAAAAHr/32Y=")</f>
        <v>#REF!</v>
      </c>
      <c r="CZ13" t="e">
        <f>AND(#REF!,"AAAAAHr/32c=")</f>
        <v>#REF!</v>
      </c>
      <c r="DA13" t="e">
        <f>AND(#REF!,"AAAAAHr/32g=")</f>
        <v>#REF!</v>
      </c>
      <c r="DB13" t="e">
        <f>AND(#REF!,"AAAAAHr/32k=")</f>
        <v>#REF!</v>
      </c>
      <c r="DC13" t="e">
        <f>AND(#REF!,"AAAAAHr/32o=")</f>
        <v>#REF!</v>
      </c>
      <c r="DD13" t="e">
        <f>AND(#REF!,"AAAAAHr/32s=")</f>
        <v>#REF!</v>
      </c>
      <c r="DE13" t="e">
        <f>AND(#REF!,"AAAAAHr/32w=")</f>
        <v>#REF!</v>
      </c>
      <c r="DF13" t="e">
        <f>IF(#REF!,"AAAAAHr/320=",0)</f>
        <v>#REF!</v>
      </c>
      <c r="DG13" t="e">
        <f>AND(#REF!,"AAAAAHr/324=")</f>
        <v>#REF!</v>
      </c>
      <c r="DH13" t="e">
        <f>AND(#REF!,"AAAAAHr/328=")</f>
        <v>#REF!</v>
      </c>
      <c r="DI13" t="e">
        <f>AND(#REF!,"AAAAAHr/33A=")</f>
        <v>#REF!</v>
      </c>
      <c r="DJ13" t="e">
        <f>AND(#REF!,"AAAAAHr/33E=")</f>
        <v>#REF!</v>
      </c>
      <c r="DK13" t="e">
        <f>AND(#REF!,"AAAAAHr/33I=")</f>
        <v>#REF!</v>
      </c>
      <c r="DL13" t="e">
        <f>AND(#REF!,"AAAAAHr/33M=")</f>
        <v>#REF!</v>
      </c>
      <c r="DM13" t="e">
        <f>AND(#REF!,"AAAAAHr/33Q=")</f>
        <v>#REF!</v>
      </c>
      <c r="DN13" t="e">
        <f>AND(#REF!,"AAAAAHr/33U=")</f>
        <v>#REF!</v>
      </c>
      <c r="DO13" t="e">
        <f>AND(#REF!,"AAAAAHr/33Y=")</f>
        <v>#REF!</v>
      </c>
      <c r="DP13" t="e">
        <f>IF(#REF!,"AAAAAHr/33c=",0)</f>
        <v>#REF!</v>
      </c>
      <c r="DQ13" t="e">
        <f>AND(#REF!,"AAAAAHr/33g=")</f>
        <v>#REF!</v>
      </c>
      <c r="DR13" t="e">
        <f>AND(#REF!,"AAAAAHr/33k=")</f>
        <v>#REF!</v>
      </c>
      <c r="DS13" t="e">
        <f>AND(#REF!,"AAAAAHr/33o=")</f>
        <v>#REF!</v>
      </c>
      <c r="DT13" t="e">
        <f>AND(#REF!,"AAAAAHr/33s=")</f>
        <v>#REF!</v>
      </c>
      <c r="DU13" t="e">
        <f>AND(#REF!,"AAAAAHr/33w=")</f>
        <v>#REF!</v>
      </c>
      <c r="DV13" t="e">
        <f>AND(#REF!,"AAAAAHr/330=")</f>
        <v>#REF!</v>
      </c>
      <c r="DW13" t="e">
        <f>AND(#REF!,"AAAAAHr/334=")</f>
        <v>#REF!</v>
      </c>
      <c r="DX13" t="e">
        <f>AND(#REF!,"AAAAAHr/338=")</f>
        <v>#REF!</v>
      </c>
      <c r="DY13" t="e">
        <f>AND(#REF!,"AAAAAHr/34A=")</f>
        <v>#REF!</v>
      </c>
      <c r="DZ13" t="e">
        <f>IF(#REF!,"AAAAAHr/34E=",0)</f>
        <v>#REF!</v>
      </c>
      <c r="EA13" t="e">
        <f>AND(#REF!,"AAAAAHr/34I=")</f>
        <v>#REF!</v>
      </c>
      <c r="EB13" t="e">
        <f>AND(#REF!,"AAAAAHr/34M=")</f>
        <v>#REF!</v>
      </c>
      <c r="EC13" t="e">
        <f>AND(#REF!,"AAAAAHr/34Q=")</f>
        <v>#REF!</v>
      </c>
      <c r="ED13" t="e">
        <f>AND(#REF!,"AAAAAHr/34U=")</f>
        <v>#REF!</v>
      </c>
      <c r="EE13" t="e">
        <f>AND(#REF!,"AAAAAHr/34Y=")</f>
        <v>#REF!</v>
      </c>
      <c r="EF13" t="e">
        <f>AND(#REF!,"AAAAAHr/34c=")</f>
        <v>#REF!</v>
      </c>
      <c r="EG13" t="e">
        <f>AND(#REF!,"AAAAAHr/34g=")</f>
        <v>#REF!</v>
      </c>
      <c r="EH13" t="e">
        <f>AND(#REF!,"AAAAAHr/34k=")</f>
        <v>#REF!</v>
      </c>
      <c r="EI13" t="e">
        <f>AND(#REF!,"AAAAAHr/34o=")</f>
        <v>#REF!</v>
      </c>
      <c r="EJ13" t="e">
        <f>IF(#REF!,"AAAAAHr/34s=",0)</f>
        <v>#REF!</v>
      </c>
      <c r="EK13" t="e">
        <f>AND(#REF!,"AAAAAHr/34w=")</f>
        <v>#REF!</v>
      </c>
      <c r="EL13" t="e">
        <f>AND(#REF!,"AAAAAHr/340=")</f>
        <v>#REF!</v>
      </c>
      <c r="EM13" t="e">
        <f>AND(#REF!,"AAAAAHr/344=")</f>
        <v>#REF!</v>
      </c>
      <c r="EN13" t="e">
        <f>AND(#REF!,"AAAAAHr/348=")</f>
        <v>#REF!</v>
      </c>
      <c r="EO13" t="e">
        <f>AND(#REF!,"AAAAAHr/35A=")</f>
        <v>#REF!</v>
      </c>
      <c r="EP13" t="e">
        <f>AND(#REF!,"AAAAAHr/35E=")</f>
        <v>#REF!</v>
      </c>
      <c r="EQ13" t="e">
        <f>AND(#REF!,"AAAAAHr/35I=")</f>
        <v>#REF!</v>
      </c>
      <c r="ER13" t="e">
        <f>AND(#REF!,"AAAAAHr/35M=")</f>
        <v>#REF!</v>
      </c>
      <c r="ES13" t="e">
        <f>AND(#REF!,"AAAAAHr/35Q=")</f>
        <v>#REF!</v>
      </c>
      <c r="ET13" t="e">
        <f>IF(#REF!,"AAAAAHr/35U=",0)</f>
        <v>#REF!</v>
      </c>
      <c r="EU13" t="e">
        <f>AND(#REF!,"AAAAAHr/35Y=")</f>
        <v>#REF!</v>
      </c>
      <c r="EV13" t="e">
        <f>AND(#REF!,"AAAAAHr/35c=")</f>
        <v>#REF!</v>
      </c>
      <c r="EW13" t="e">
        <f>AND(#REF!,"AAAAAHr/35g=")</f>
        <v>#REF!</v>
      </c>
      <c r="EX13" t="e">
        <f>AND(#REF!,"AAAAAHr/35k=")</f>
        <v>#REF!</v>
      </c>
      <c r="EY13" t="e">
        <f>AND(#REF!,"AAAAAHr/35o=")</f>
        <v>#REF!</v>
      </c>
      <c r="EZ13" t="e">
        <f>AND(#REF!,"AAAAAHr/35s=")</f>
        <v>#REF!</v>
      </c>
      <c r="FA13" t="e">
        <f>AND(#REF!,"AAAAAHr/35w=")</f>
        <v>#REF!</v>
      </c>
      <c r="FB13" t="e">
        <f>AND(#REF!,"AAAAAHr/350=")</f>
        <v>#REF!</v>
      </c>
      <c r="FC13" t="e">
        <f>AND(#REF!,"AAAAAHr/354=")</f>
        <v>#REF!</v>
      </c>
      <c r="FD13" t="e">
        <f>IF(#REF!,"AAAAAHr/358=",0)</f>
        <v>#REF!</v>
      </c>
      <c r="FE13" t="e">
        <f>AND(#REF!,"AAAAAHr/36A=")</f>
        <v>#REF!</v>
      </c>
      <c r="FF13" t="e">
        <f>AND(#REF!,"AAAAAHr/36E=")</f>
        <v>#REF!</v>
      </c>
      <c r="FG13" t="e">
        <f>AND(#REF!,"AAAAAHr/36I=")</f>
        <v>#REF!</v>
      </c>
      <c r="FH13" t="e">
        <f>AND(#REF!,"AAAAAHr/36M=")</f>
        <v>#REF!</v>
      </c>
      <c r="FI13" t="e">
        <f>AND(#REF!,"AAAAAHr/36Q=")</f>
        <v>#REF!</v>
      </c>
      <c r="FJ13" t="e">
        <f>AND(#REF!,"AAAAAHr/36U=")</f>
        <v>#REF!</v>
      </c>
      <c r="FK13" t="e">
        <f>AND(#REF!,"AAAAAHr/36Y=")</f>
        <v>#REF!</v>
      </c>
      <c r="FL13" t="e">
        <f>AND(#REF!,"AAAAAHr/36c=")</f>
        <v>#REF!</v>
      </c>
      <c r="FM13" t="e">
        <f>AND(#REF!,"AAAAAHr/36g=")</f>
        <v>#REF!</v>
      </c>
      <c r="FN13" t="e">
        <f>IF(#REF!,"AAAAAHr/36k=",0)</f>
        <v>#REF!</v>
      </c>
      <c r="FO13" t="e">
        <f>AND(#REF!,"AAAAAHr/36o=")</f>
        <v>#REF!</v>
      </c>
      <c r="FP13" t="e">
        <f>AND(#REF!,"AAAAAHr/36s=")</f>
        <v>#REF!</v>
      </c>
      <c r="FQ13" t="e">
        <f>AND(#REF!,"AAAAAHr/36w=")</f>
        <v>#REF!</v>
      </c>
      <c r="FR13" t="e">
        <f>AND(#REF!,"AAAAAHr/360=")</f>
        <v>#REF!</v>
      </c>
      <c r="FS13" t="e">
        <f>AND(#REF!,"AAAAAHr/364=")</f>
        <v>#REF!</v>
      </c>
      <c r="FT13" t="e">
        <f>AND(#REF!,"AAAAAHr/368=")</f>
        <v>#REF!</v>
      </c>
      <c r="FU13" t="e">
        <f>AND(#REF!,"AAAAAHr/37A=")</f>
        <v>#REF!</v>
      </c>
      <c r="FV13" t="e">
        <f>AND(#REF!,"AAAAAHr/37E=")</f>
        <v>#REF!</v>
      </c>
      <c r="FW13" t="e">
        <f>AND(#REF!,"AAAAAHr/37I=")</f>
        <v>#REF!</v>
      </c>
      <c r="FX13" t="e">
        <f>IF(#REF!,"AAAAAHr/37M=",0)</f>
        <v>#REF!</v>
      </c>
      <c r="FY13" t="e">
        <f>AND(#REF!,"AAAAAHr/37Q=")</f>
        <v>#REF!</v>
      </c>
      <c r="FZ13" t="e">
        <f>AND(#REF!,"AAAAAHr/37U=")</f>
        <v>#REF!</v>
      </c>
      <c r="GA13" t="e">
        <f>AND(#REF!,"AAAAAHr/37Y=")</f>
        <v>#REF!</v>
      </c>
      <c r="GB13" t="e">
        <f>AND(#REF!,"AAAAAHr/37c=")</f>
        <v>#REF!</v>
      </c>
      <c r="GC13" t="e">
        <f>AND(#REF!,"AAAAAHr/37g=")</f>
        <v>#REF!</v>
      </c>
      <c r="GD13" t="e">
        <f>AND(#REF!,"AAAAAHr/37k=")</f>
        <v>#REF!</v>
      </c>
      <c r="GE13" t="e">
        <f>AND(#REF!,"AAAAAHr/37o=")</f>
        <v>#REF!</v>
      </c>
      <c r="GF13" t="e">
        <f>AND(#REF!,"AAAAAHr/37s=")</f>
        <v>#REF!</v>
      </c>
      <c r="GG13" t="e">
        <f>AND(#REF!,"AAAAAHr/37w=")</f>
        <v>#REF!</v>
      </c>
      <c r="GH13" t="e">
        <f>IF(#REF!,"AAAAAHr/370=",0)</f>
        <v>#REF!</v>
      </c>
      <c r="GI13" t="e">
        <f>AND(#REF!,"AAAAAHr/374=")</f>
        <v>#REF!</v>
      </c>
      <c r="GJ13" t="e">
        <f>AND(#REF!,"AAAAAHr/378=")</f>
        <v>#REF!</v>
      </c>
      <c r="GK13" t="e">
        <f>AND(#REF!,"AAAAAHr/38A=")</f>
        <v>#REF!</v>
      </c>
      <c r="GL13" t="e">
        <f>AND(#REF!,"AAAAAHr/38E=")</f>
        <v>#REF!</v>
      </c>
      <c r="GM13" t="e">
        <f>AND(#REF!,"AAAAAHr/38I=")</f>
        <v>#REF!</v>
      </c>
      <c r="GN13" t="e">
        <f>AND(#REF!,"AAAAAHr/38M=")</f>
        <v>#REF!</v>
      </c>
      <c r="GO13" t="e">
        <f>AND(#REF!,"AAAAAHr/38Q=")</f>
        <v>#REF!</v>
      </c>
      <c r="GP13" t="e">
        <f>AND(#REF!,"AAAAAHr/38U=")</f>
        <v>#REF!</v>
      </c>
      <c r="GQ13" t="e">
        <f>AND(#REF!,"AAAAAHr/38Y=")</f>
        <v>#REF!</v>
      </c>
      <c r="GR13" t="e">
        <f>IF(#REF!,"AAAAAHr/38c=",0)</f>
        <v>#REF!</v>
      </c>
      <c r="GS13" t="e">
        <f>AND(#REF!,"AAAAAHr/38g=")</f>
        <v>#REF!</v>
      </c>
      <c r="GT13" t="e">
        <f>AND(#REF!,"AAAAAHr/38k=")</f>
        <v>#REF!</v>
      </c>
      <c r="GU13" t="e">
        <f>AND(#REF!,"AAAAAHr/38o=")</f>
        <v>#REF!</v>
      </c>
      <c r="GV13" t="e">
        <f>AND(#REF!,"AAAAAHr/38s=")</f>
        <v>#REF!</v>
      </c>
      <c r="GW13" t="e">
        <f>AND(#REF!,"AAAAAHr/38w=")</f>
        <v>#REF!</v>
      </c>
      <c r="GX13" t="e">
        <f>AND(#REF!,"AAAAAHr/380=")</f>
        <v>#REF!</v>
      </c>
      <c r="GY13" t="e">
        <f>AND(#REF!,"AAAAAHr/384=")</f>
        <v>#REF!</v>
      </c>
      <c r="GZ13" t="e">
        <f>AND(#REF!,"AAAAAHr/388=")</f>
        <v>#REF!</v>
      </c>
      <c r="HA13" t="e">
        <f>AND(#REF!,"AAAAAHr/39A=")</f>
        <v>#REF!</v>
      </c>
      <c r="HB13" t="e">
        <f>IF(#REF!,"AAAAAHr/39E=",0)</f>
        <v>#REF!</v>
      </c>
      <c r="HC13" t="e">
        <f>AND(#REF!,"AAAAAHr/39I=")</f>
        <v>#REF!</v>
      </c>
      <c r="HD13" t="e">
        <f>AND(#REF!,"AAAAAHr/39M=")</f>
        <v>#REF!</v>
      </c>
      <c r="HE13" t="e">
        <f>AND(#REF!,"AAAAAHr/39Q=")</f>
        <v>#REF!</v>
      </c>
      <c r="HF13" t="e">
        <f>AND(#REF!,"AAAAAHr/39U=")</f>
        <v>#REF!</v>
      </c>
      <c r="HG13" t="e">
        <f>AND(#REF!,"AAAAAHr/39Y=")</f>
        <v>#REF!</v>
      </c>
      <c r="HH13" t="e">
        <f>AND(#REF!,"AAAAAHr/39c=")</f>
        <v>#REF!</v>
      </c>
      <c r="HI13" t="e">
        <f>AND(#REF!,"AAAAAHr/39g=")</f>
        <v>#REF!</v>
      </c>
      <c r="HJ13" t="e">
        <f>AND(#REF!,"AAAAAHr/39k=")</f>
        <v>#REF!</v>
      </c>
      <c r="HK13" t="e">
        <f>AND(#REF!,"AAAAAHr/39o=")</f>
        <v>#REF!</v>
      </c>
      <c r="HL13" t="e">
        <f>IF(#REF!,"AAAAAHr/39s=",0)</f>
        <v>#REF!</v>
      </c>
      <c r="HM13" t="e">
        <f>IF(#REF!,"AAAAAHr/39w=",0)</f>
        <v>#REF!</v>
      </c>
      <c r="HN13" t="e">
        <f>IF(#REF!,"AAAAAHr/390=",0)</f>
        <v>#REF!</v>
      </c>
      <c r="HO13" t="e">
        <f>IF(#REF!,"AAAAAHr/394=",0)</f>
        <v>#REF!</v>
      </c>
      <c r="HP13" t="e">
        <f>IF(#REF!,"AAAAAHr/398=",0)</f>
        <v>#REF!</v>
      </c>
      <c r="HQ13" t="e">
        <f>IF(#REF!,"AAAAAHr/3+A=",0)</f>
        <v>#REF!</v>
      </c>
      <c r="HR13" t="e">
        <f>IF(#REF!,"AAAAAHr/3+E=",0)</f>
        <v>#REF!</v>
      </c>
      <c r="HS13" t="e">
        <f>IF(#REF!,"AAAAAHr/3+I=",0)</f>
        <v>#REF!</v>
      </c>
      <c r="HT13" t="e">
        <f>IF(#REF!,"AAAAAHr/3+M=",0)</f>
        <v>#REF!</v>
      </c>
      <c r="HU13" t="e">
        <f>IF(#REF!,"AAAAAHr/3+Q=",0)</f>
        <v>#REF!</v>
      </c>
      <c r="HV13" t="e">
        <f>IF(#REF!,"AAAAAHr/3+U=",0)</f>
        <v>#REF!</v>
      </c>
      <c r="HW13" t="e">
        <f>IF(#REF!,"AAAAAHr/3+Y=",0)</f>
        <v>#REF!</v>
      </c>
      <c r="HX13" t="e">
        <f>IF(#REF!,"AAAAAHr/3+c=",0)</f>
        <v>#REF!</v>
      </c>
      <c r="HY13" t="e">
        <f>IF(#REF!,"AAAAAHr/3+g=",0)</f>
        <v>#REF!</v>
      </c>
      <c r="HZ13" t="e">
        <f>AND(#REF!,"AAAAAHr/3+k=")</f>
        <v>#REF!</v>
      </c>
      <c r="IA13" t="e">
        <f>AND(#REF!,"AAAAAHr/3+o=")</f>
        <v>#REF!</v>
      </c>
      <c r="IB13" t="e">
        <f>AND(#REF!,"AAAAAHr/3+s=")</f>
        <v>#REF!</v>
      </c>
      <c r="IC13" t="e">
        <f>AND(#REF!,"AAAAAHr/3+w=")</f>
        <v>#REF!</v>
      </c>
      <c r="ID13" t="e">
        <f>AND(#REF!,"AAAAAHr/3+0=")</f>
        <v>#REF!</v>
      </c>
      <c r="IE13" t="e">
        <f>AND(#REF!,"AAAAAHr/3+4=")</f>
        <v>#REF!</v>
      </c>
      <c r="IF13" t="e">
        <f>AND(#REF!,"AAAAAHr/3+8=")</f>
        <v>#REF!</v>
      </c>
      <c r="IG13" t="e">
        <f>AND(#REF!,"AAAAAHr/3/A=")</f>
        <v>#REF!</v>
      </c>
      <c r="IH13" t="e">
        <f>AND(#REF!,"AAAAAHr/3/E=")</f>
        <v>#REF!</v>
      </c>
      <c r="II13" t="e">
        <f>AND(#REF!,"AAAAAHr/3/I=")</f>
        <v>#REF!</v>
      </c>
      <c r="IJ13" t="e">
        <f>AND(#REF!,"AAAAAHr/3/M=")</f>
        <v>#REF!</v>
      </c>
      <c r="IK13" t="e">
        <f>AND(#REF!,"AAAAAHr/3/Q=")</f>
        <v>#REF!</v>
      </c>
      <c r="IL13" t="e">
        <f>IF(#REF!,"AAAAAHr/3/U=",0)</f>
        <v>#REF!</v>
      </c>
      <c r="IM13" t="e">
        <f>AND(#REF!,"AAAAAHr/3/Y=")</f>
        <v>#REF!</v>
      </c>
      <c r="IN13" t="e">
        <f>AND(#REF!,"AAAAAHr/3/c=")</f>
        <v>#REF!</v>
      </c>
      <c r="IO13" t="e">
        <f>AND(#REF!,"AAAAAHr/3/g=")</f>
        <v>#REF!</v>
      </c>
      <c r="IP13" t="e">
        <f>AND(#REF!,"AAAAAHr/3/k=")</f>
        <v>#REF!</v>
      </c>
      <c r="IQ13" t="e">
        <f>AND(#REF!,"AAAAAHr/3/o=")</f>
        <v>#REF!</v>
      </c>
      <c r="IR13" t="e">
        <f>AND(#REF!,"AAAAAHr/3/s=")</f>
        <v>#REF!</v>
      </c>
      <c r="IS13" t="e">
        <f>AND(#REF!,"AAAAAHr/3/w=")</f>
        <v>#REF!</v>
      </c>
      <c r="IT13" t="e">
        <f>AND(#REF!,"AAAAAHr/3/0=")</f>
        <v>#REF!</v>
      </c>
      <c r="IU13" t="e">
        <f>AND(#REF!,"AAAAAHr/3/4=")</f>
        <v>#REF!</v>
      </c>
      <c r="IV13" t="e">
        <f>AND(#REF!,"AAAAAHr/3/8=")</f>
        <v>#REF!</v>
      </c>
    </row>
    <row r="14" spans="1:256" ht="12.75">
      <c r="A14" t="e">
        <f>AND(#REF!,"AAAAAEuPyQA=")</f>
        <v>#REF!</v>
      </c>
      <c r="B14" t="e">
        <f>AND(#REF!,"AAAAAEuPyQE=")</f>
        <v>#REF!</v>
      </c>
      <c r="C14" t="e">
        <f>IF(#REF!,"AAAAAEuPyQI=",0)</f>
        <v>#REF!</v>
      </c>
      <c r="D14" t="e">
        <f>AND(#REF!,"AAAAAEuPyQM=")</f>
        <v>#REF!</v>
      </c>
      <c r="E14" t="e">
        <f>AND(#REF!,"AAAAAEuPyQQ=")</f>
        <v>#REF!</v>
      </c>
      <c r="F14" t="e">
        <f>AND(#REF!,"AAAAAEuPyQU=")</f>
        <v>#REF!</v>
      </c>
      <c r="G14" t="e">
        <f>AND(#REF!,"AAAAAEuPyQY=")</f>
        <v>#REF!</v>
      </c>
      <c r="H14" t="e">
        <f>AND(#REF!,"AAAAAEuPyQc=")</f>
        <v>#REF!</v>
      </c>
      <c r="I14" t="e">
        <f>AND(#REF!,"AAAAAEuPyQg=")</f>
        <v>#REF!</v>
      </c>
      <c r="J14" t="e">
        <f>AND(#REF!,"AAAAAEuPyQk=")</f>
        <v>#REF!</v>
      </c>
      <c r="K14" t="e">
        <f>AND(#REF!,"AAAAAEuPyQo=")</f>
        <v>#REF!</v>
      </c>
      <c r="L14" t="e">
        <f>AND(#REF!,"AAAAAEuPyQs=")</f>
        <v>#REF!</v>
      </c>
      <c r="M14" t="e">
        <f>AND(#REF!,"AAAAAEuPyQw=")</f>
        <v>#REF!</v>
      </c>
      <c r="N14" t="e">
        <f>AND(#REF!,"AAAAAEuPyQ0=")</f>
        <v>#REF!</v>
      </c>
      <c r="O14" t="e">
        <f>AND(#REF!,"AAAAAEuPyQ4=")</f>
        <v>#REF!</v>
      </c>
      <c r="P14" t="e">
        <f>IF(#REF!,"AAAAAEuPyQ8=",0)</f>
        <v>#REF!</v>
      </c>
      <c r="Q14" t="e">
        <f>AND(#REF!,"AAAAAEuPyRA=")</f>
        <v>#REF!</v>
      </c>
      <c r="R14" t="e">
        <f>AND(#REF!,"AAAAAEuPyRE=")</f>
        <v>#REF!</v>
      </c>
      <c r="S14" t="e">
        <f>AND(#REF!,"AAAAAEuPyRI=")</f>
        <v>#REF!</v>
      </c>
      <c r="T14" t="e">
        <f>AND(#REF!,"AAAAAEuPyRM=")</f>
        <v>#REF!</v>
      </c>
      <c r="U14" t="e">
        <f>AND(#REF!,"AAAAAEuPyRQ=")</f>
        <v>#REF!</v>
      </c>
      <c r="V14" t="e">
        <f>AND(#REF!,"AAAAAEuPyRU=")</f>
        <v>#REF!</v>
      </c>
      <c r="W14" t="e">
        <f>AND(#REF!,"AAAAAEuPyRY=")</f>
        <v>#REF!</v>
      </c>
      <c r="X14" t="e">
        <f>AND(#REF!,"AAAAAEuPyRc=")</f>
        <v>#REF!</v>
      </c>
      <c r="Y14" t="e">
        <f>AND(#REF!,"AAAAAEuPyRg=")</f>
        <v>#REF!</v>
      </c>
      <c r="Z14" t="e">
        <f>AND(#REF!,"AAAAAEuPyRk=")</f>
        <v>#REF!</v>
      </c>
      <c r="AA14" t="e">
        <f>AND(#REF!,"AAAAAEuPyRo=")</f>
        <v>#REF!</v>
      </c>
      <c r="AB14" t="e">
        <f>AND(#REF!,"AAAAAEuPyRs=")</f>
        <v>#REF!</v>
      </c>
      <c r="AC14" t="e">
        <f>IF(#REF!,"AAAAAEuPyRw=",0)</f>
        <v>#REF!</v>
      </c>
      <c r="AD14" t="e">
        <f>AND(#REF!,"AAAAAEuPyR0=")</f>
        <v>#REF!</v>
      </c>
      <c r="AE14" t="e">
        <f>AND(#REF!,"AAAAAEuPyR4=")</f>
        <v>#REF!</v>
      </c>
      <c r="AF14" t="e">
        <f>AND(#REF!,"AAAAAEuPyR8=")</f>
        <v>#REF!</v>
      </c>
      <c r="AG14" t="e">
        <f>AND(#REF!,"AAAAAEuPySA=")</f>
        <v>#REF!</v>
      </c>
      <c r="AH14" t="e">
        <f>AND(#REF!,"AAAAAEuPySE=")</f>
        <v>#REF!</v>
      </c>
      <c r="AI14" t="e">
        <f>AND(#REF!,"AAAAAEuPySI=")</f>
        <v>#REF!</v>
      </c>
      <c r="AJ14" t="e">
        <f>AND(#REF!,"AAAAAEuPySM=")</f>
        <v>#REF!</v>
      </c>
      <c r="AK14" t="e">
        <f>AND(#REF!,"AAAAAEuPySQ=")</f>
        <v>#REF!</v>
      </c>
      <c r="AL14" t="e">
        <f>AND(#REF!,"AAAAAEuPySU=")</f>
        <v>#REF!</v>
      </c>
      <c r="AM14" t="e">
        <f>AND(#REF!,"AAAAAEuPySY=")</f>
        <v>#REF!</v>
      </c>
      <c r="AN14" t="e">
        <f>AND(#REF!,"AAAAAEuPySc=")</f>
        <v>#REF!</v>
      </c>
      <c r="AO14" t="e">
        <f>AND(#REF!,"AAAAAEuPySg=")</f>
        <v>#REF!</v>
      </c>
      <c r="AP14" t="e">
        <f>IF(#REF!,"AAAAAEuPySk=",0)</f>
        <v>#REF!</v>
      </c>
      <c r="AQ14" t="e">
        <f>AND(#REF!,"AAAAAEuPySo=")</f>
        <v>#REF!</v>
      </c>
      <c r="AR14" t="e">
        <f>AND(#REF!,"AAAAAEuPySs=")</f>
        <v>#REF!</v>
      </c>
      <c r="AS14" t="e">
        <f>AND(#REF!,"AAAAAEuPySw=")</f>
        <v>#REF!</v>
      </c>
      <c r="AT14" t="e">
        <f>AND(#REF!,"AAAAAEuPyS0=")</f>
        <v>#REF!</v>
      </c>
      <c r="AU14" t="e">
        <f>AND(#REF!,"AAAAAEuPyS4=")</f>
        <v>#REF!</v>
      </c>
      <c r="AV14" t="e">
        <f>AND(#REF!,"AAAAAEuPyS8=")</f>
        <v>#REF!</v>
      </c>
      <c r="AW14" t="e">
        <f>AND(#REF!,"AAAAAEuPyTA=")</f>
        <v>#REF!</v>
      </c>
      <c r="AX14" t="e">
        <f>AND(#REF!,"AAAAAEuPyTE=")</f>
        <v>#REF!</v>
      </c>
      <c r="AY14" t="e">
        <f>AND(#REF!,"AAAAAEuPyTI=")</f>
        <v>#REF!</v>
      </c>
      <c r="AZ14" t="e">
        <f>AND(#REF!,"AAAAAEuPyTM=")</f>
        <v>#REF!</v>
      </c>
      <c r="BA14" t="e">
        <f>AND(#REF!,"AAAAAEuPyTQ=")</f>
        <v>#REF!</v>
      </c>
      <c r="BB14" t="e">
        <f>AND(#REF!,"AAAAAEuPyTU=")</f>
        <v>#REF!</v>
      </c>
      <c r="BC14" t="e">
        <f>IF(#REF!,"AAAAAEuPyTY=",0)</f>
        <v>#REF!</v>
      </c>
      <c r="BD14" t="e">
        <f>AND(#REF!,"AAAAAEuPyTc=")</f>
        <v>#REF!</v>
      </c>
      <c r="BE14" t="e">
        <f>AND(#REF!,"AAAAAEuPyTg=")</f>
        <v>#REF!</v>
      </c>
      <c r="BF14" t="e">
        <f>AND(#REF!,"AAAAAEuPyTk=")</f>
        <v>#REF!</v>
      </c>
      <c r="BG14" t="e">
        <f>AND(#REF!,"AAAAAEuPyTo=")</f>
        <v>#REF!</v>
      </c>
      <c r="BH14" t="e">
        <f>AND(#REF!,"AAAAAEuPyTs=")</f>
        <v>#REF!</v>
      </c>
      <c r="BI14" t="e">
        <f>AND(#REF!,"AAAAAEuPyTw=")</f>
        <v>#REF!</v>
      </c>
      <c r="BJ14" t="e">
        <f>AND(#REF!,"AAAAAEuPyT0=")</f>
        <v>#REF!</v>
      </c>
      <c r="BK14" t="e">
        <f>AND(#REF!,"AAAAAEuPyT4=")</f>
        <v>#REF!</v>
      </c>
      <c r="BL14" t="e">
        <f>AND(#REF!,"AAAAAEuPyT8=")</f>
        <v>#REF!</v>
      </c>
      <c r="BM14" t="e">
        <f>AND(#REF!,"AAAAAEuPyUA=")</f>
        <v>#REF!</v>
      </c>
      <c r="BN14" t="e">
        <f>AND(#REF!,"AAAAAEuPyUE=")</f>
        <v>#REF!</v>
      </c>
      <c r="BO14" t="e">
        <f>AND(#REF!,"AAAAAEuPyUI=")</f>
        <v>#REF!</v>
      </c>
      <c r="BP14" t="e">
        <f>IF(#REF!,"AAAAAEuPyUM=",0)</f>
        <v>#REF!</v>
      </c>
      <c r="BQ14" t="e">
        <f>AND(#REF!,"AAAAAEuPyUQ=")</f>
        <v>#REF!</v>
      </c>
      <c r="BR14" t="e">
        <f>AND(#REF!,"AAAAAEuPyUU=")</f>
        <v>#REF!</v>
      </c>
      <c r="BS14" t="e">
        <f>AND(#REF!,"AAAAAEuPyUY=")</f>
        <v>#REF!</v>
      </c>
      <c r="BT14" t="e">
        <f>AND(#REF!,"AAAAAEuPyUc=")</f>
        <v>#REF!</v>
      </c>
      <c r="BU14" t="e">
        <f>AND(#REF!,"AAAAAEuPyUg=")</f>
        <v>#REF!</v>
      </c>
      <c r="BV14" t="e">
        <f>AND(#REF!,"AAAAAEuPyUk=")</f>
        <v>#REF!</v>
      </c>
      <c r="BW14" t="e">
        <f>AND(#REF!,"AAAAAEuPyUo=")</f>
        <v>#REF!</v>
      </c>
      <c r="BX14" t="e">
        <f>AND(#REF!,"AAAAAEuPyUs=")</f>
        <v>#REF!</v>
      </c>
      <c r="BY14" t="e">
        <f>AND(#REF!,"AAAAAEuPyUw=")</f>
        <v>#REF!</v>
      </c>
      <c r="BZ14" t="e">
        <f>AND(#REF!,"AAAAAEuPyU0=")</f>
        <v>#REF!</v>
      </c>
      <c r="CA14" t="e">
        <f>AND(#REF!,"AAAAAEuPyU4=")</f>
        <v>#REF!</v>
      </c>
      <c r="CB14" t="e">
        <f>AND(#REF!,"AAAAAEuPyU8=")</f>
        <v>#REF!</v>
      </c>
      <c r="CC14" t="e">
        <f>IF(#REF!,"AAAAAEuPyVA=",0)</f>
        <v>#REF!</v>
      </c>
      <c r="CD14" t="e">
        <f>AND(#REF!,"AAAAAEuPyVE=")</f>
        <v>#REF!</v>
      </c>
      <c r="CE14" t="e">
        <f>AND(#REF!,"AAAAAEuPyVI=")</f>
        <v>#REF!</v>
      </c>
      <c r="CF14" t="e">
        <f>AND(#REF!,"AAAAAEuPyVM=")</f>
        <v>#REF!</v>
      </c>
      <c r="CG14" t="e">
        <f>AND(#REF!,"AAAAAEuPyVQ=")</f>
        <v>#REF!</v>
      </c>
      <c r="CH14" t="e">
        <f>AND(#REF!,"AAAAAEuPyVU=")</f>
        <v>#REF!</v>
      </c>
      <c r="CI14" t="e">
        <f>AND(#REF!,"AAAAAEuPyVY=")</f>
        <v>#REF!</v>
      </c>
      <c r="CJ14" t="e">
        <f>AND(#REF!,"AAAAAEuPyVc=")</f>
        <v>#REF!</v>
      </c>
      <c r="CK14" t="e">
        <f>AND(#REF!,"AAAAAEuPyVg=")</f>
        <v>#REF!</v>
      </c>
      <c r="CL14" t="e">
        <f>AND(#REF!,"AAAAAEuPyVk=")</f>
        <v>#REF!</v>
      </c>
      <c r="CM14" t="e">
        <f>AND(#REF!,"AAAAAEuPyVo=")</f>
        <v>#REF!</v>
      </c>
      <c r="CN14" t="e">
        <f>AND(#REF!,"AAAAAEuPyVs=")</f>
        <v>#REF!</v>
      </c>
      <c r="CO14" t="e">
        <f>AND(#REF!,"AAAAAEuPyVw=")</f>
        <v>#REF!</v>
      </c>
      <c r="CP14" t="e">
        <f>IF(#REF!,"AAAAAEuPyV0=",0)</f>
        <v>#REF!</v>
      </c>
      <c r="CQ14" t="e">
        <f>AND(#REF!,"AAAAAEuPyV4=")</f>
        <v>#REF!</v>
      </c>
      <c r="CR14" t="e">
        <f>AND(#REF!,"AAAAAEuPyV8=")</f>
        <v>#REF!</v>
      </c>
      <c r="CS14" t="e">
        <f>AND(#REF!,"AAAAAEuPyWA=")</f>
        <v>#REF!</v>
      </c>
      <c r="CT14" t="e">
        <f>AND(#REF!,"AAAAAEuPyWE=")</f>
        <v>#REF!</v>
      </c>
      <c r="CU14" t="e">
        <f>AND(#REF!,"AAAAAEuPyWI=")</f>
        <v>#REF!</v>
      </c>
      <c r="CV14" t="e">
        <f>AND(#REF!,"AAAAAEuPyWM=")</f>
        <v>#REF!</v>
      </c>
      <c r="CW14" t="e">
        <f>AND(#REF!,"AAAAAEuPyWQ=")</f>
        <v>#REF!</v>
      </c>
      <c r="CX14" t="e">
        <f>AND(#REF!,"AAAAAEuPyWU=")</f>
        <v>#REF!</v>
      </c>
      <c r="CY14" t="e">
        <f>AND(#REF!,"AAAAAEuPyWY=")</f>
        <v>#REF!</v>
      </c>
      <c r="CZ14" t="e">
        <f>AND(#REF!,"AAAAAEuPyWc=")</f>
        <v>#REF!</v>
      </c>
      <c r="DA14" t="e">
        <f>AND(#REF!,"AAAAAEuPyWg=")</f>
        <v>#REF!</v>
      </c>
      <c r="DB14" t="e">
        <f>AND(#REF!,"AAAAAEuPyWk=")</f>
        <v>#REF!</v>
      </c>
      <c r="DC14" t="e">
        <f>IF(#REF!,"AAAAAEuPyWo=",0)</f>
        <v>#REF!</v>
      </c>
      <c r="DD14" t="e">
        <f>AND(#REF!,"AAAAAEuPyWs=")</f>
        <v>#REF!</v>
      </c>
      <c r="DE14" t="e">
        <f>AND(#REF!,"AAAAAEuPyWw=")</f>
        <v>#REF!</v>
      </c>
      <c r="DF14" t="e">
        <f>AND(#REF!,"AAAAAEuPyW0=")</f>
        <v>#REF!</v>
      </c>
      <c r="DG14" t="e">
        <f>AND(#REF!,"AAAAAEuPyW4=")</f>
        <v>#REF!</v>
      </c>
      <c r="DH14" t="e">
        <f>AND(#REF!,"AAAAAEuPyW8=")</f>
        <v>#REF!</v>
      </c>
      <c r="DI14" t="e">
        <f>AND(#REF!,"AAAAAEuPyXA=")</f>
        <v>#REF!</v>
      </c>
      <c r="DJ14" t="e">
        <f>AND(#REF!,"AAAAAEuPyXE=")</f>
        <v>#REF!</v>
      </c>
      <c r="DK14" t="e">
        <f>AND(#REF!,"AAAAAEuPyXI=")</f>
        <v>#REF!</v>
      </c>
      <c r="DL14" t="e">
        <f>AND(#REF!,"AAAAAEuPyXM=")</f>
        <v>#REF!</v>
      </c>
      <c r="DM14" t="e">
        <f>AND(#REF!,"AAAAAEuPyXQ=")</f>
        <v>#REF!</v>
      </c>
      <c r="DN14" t="e">
        <f>AND(#REF!,"AAAAAEuPyXU=")</f>
        <v>#REF!</v>
      </c>
      <c r="DO14" t="e">
        <f>AND(#REF!,"AAAAAEuPyXY=")</f>
        <v>#REF!</v>
      </c>
      <c r="DP14" t="e">
        <f>IF(#REF!,"AAAAAEuPyXc=",0)</f>
        <v>#REF!</v>
      </c>
      <c r="DQ14" t="e">
        <f>AND(#REF!,"AAAAAEuPyXg=")</f>
        <v>#REF!</v>
      </c>
      <c r="DR14" t="e">
        <f>AND(#REF!,"AAAAAEuPyXk=")</f>
        <v>#REF!</v>
      </c>
      <c r="DS14" t="e">
        <f>AND(#REF!,"AAAAAEuPyXo=")</f>
        <v>#REF!</v>
      </c>
      <c r="DT14" t="e">
        <f>AND(#REF!,"AAAAAEuPyXs=")</f>
        <v>#REF!</v>
      </c>
      <c r="DU14" t="e">
        <f>AND(#REF!,"AAAAAEuPyXw=")</f>
        <v>#REF!</v>
      </c>
      <c r="DV14" t="e">
        <f>AND(#REF!,"AAAAAEuPyX0=")</f>
        <v>#REF!</v>
      </c>
      <c r="DW14" t="e">
        <f>AND(#REF!,"AAAAAEuPyX4=")</f>
        <v>#REF!</v>
      </c>
      <c r="DX14" t="e">
        <f>AND(#REF!,"AAAAAEuPyX8=")</f>
        <v>#REF!</v>
      </c>
      <c r="DY14" t="e">
        <f>AND(#REF!,"AAAAAEuPyYA=")</f>
        <v>#REF!</v>
      </c>
      <c r="DZ14" t="e">
        <f>AND(#REF!,"AAAAAEuPyYE=")</f>
        <v>#REF!</v>
      </c>
      <c r="EA14" t="e">
        <f>AND(#REF!,"AAAAAEuPyYI=")</f>
        <v>#REF!</v>
      </c>
      <c r="EB14" t="e">
        <f>AND(#REF!,"AAAAAEuPyYM=")</f>
        <v>#REF!</v>
      </c>
      <c r="EC14" t="e">
        <f>IF(#REF!,"AAAAAEuPyYQ=",0)</f>
        <v>#REF!</v>
      </c>
      <c r="ED14" t="e">
        <f>AND(#REF!,"AAAAAEuPyYU=")</f>
        <v>#REF!</v>
      </c>
      <c r="EE14" t="e">
        <f>AND(#REF!,"AAAAAEuPyYY=")</f>
        <v>#REF!</v>
      </c>
      <c r="EF14" t="e">
        <f>AND(#REF!,"AAAAAEuPyYc=")</f>
        <v>#REF!</v>
      </c>
      <c r="EG14" t="e">
        <f>AND(#REF!,"AAAAAEuPyYg=")</f>
        <v>#REF!</v>
      </c>
      <c r="EH14" t="e">
        <f>AND(#REF!,"AAAAAEuPyYk=")</f>
        <v>#REF!</v>
      </c>
      <c r="EI14" t="e">
        <f>AND(#REF!,"AAAAAEuPyYo=")</f>
        <v>#REF!</v>
      </c>
      <c r="EJ14" t="e">
        <f>AND(#REF!,"AAAAAEuPyYs=")</f>
        <v>#REF!</v>
      </c>
      <c r="EK14" t="e">
        <f>AND(#REF!,"AAAAAEuPyYw=")</f>
        <v>#REF!</v>
      </c>
      <c r="EL14" t="e">
        <f>AND(#REF!,"AAAAAEuPyY0=")</f>
        <v>#REF!</v>
      </c>
      <c r="EM14" t="e">
        <f>AND(#REF!,"AAAAAEuPyY4=")</f>
        <v>#REF!</v>
      </c>
      <c r="EN14" t="e">
        <f>AND(#REF!,"AAAAAEuPyY8=")</f>
        <v>#REF!</v>
      </c>
      <c r="EO14" t="e">
        <f>AND(#REF!,"AAAAAEuPyZA=")</f>
        <v>#REF!</v>
      </c>
      <c r="EP14" t="e">
        <f>IF(#REF!,"AAAAAEuPyZE=",0)</f>
        <v>#REF!</v>
      </c>
      <c r="EQ14" t="e">
        <f>AND(#REF!,"AAAAAEuPyZI=")</f>
        <v>#REF!</v>
      </c>
      <c r="ER14" t="e">
        <f>AND(#REF!,"AAAAAEuPyZM=")</f>
        <v>#REF!</v>
      </c>
      <c r="ES14" t="e">
        <f>AND(#REF!,"AAAAAEuPyZQ=")</f>
        <v>#REF!</v>
      </c>
      <c r="ET14" t="e">
        <f>AND(#REF!,"AAAAAEuPyZU=")</f>
        <v>#REF!</v>
      </c>
      <c r="EU14" t="e">
        <f>AND(#REF!,"AAAAAEuPyZY=")</f>
        <v>#REF!</v>
      </c>
      <c r="EV14" t="e">
        <f>AND(#REF!,"AAAAAEuPyZc=")</f>
        <v>#REF!</v>
      </c>
      <c r="EW14" t="e">
        <f>AND(#REF!,"AAAAAEuPyZg=")</f>
        <v>#REF!</v>
      </c>
      <c r="EX14" t="e">
        <f>AND(#REF!,"AAAAAEuPyZk=")</f>
        <v>#REF!</v>
      </c>
      <c r="EY14" t="e">
        <f>AND(#REF!,"AAAAAEuPyZo=")</f>
        <v>#REF!</v>
      </c>
      <c r="EZ14" t="e">
        <f>AND(#REF!,"AAAAAEuPyZs=")</f>
        <v>#REF!</v>
      </c>
      <c r="FA14" t="e">
        <f>AND(#REF!,"AAAAAEuPyZw=")</f>
        <v>#REF!</v>
      </c>
      <c r="FB14" t="e">
        <f>AND(#REF!,"AAAAAEuPyZ0=")</f>
        <v>#REF!</v>
      </c>
      <c r="FC14" t="e">
        <f>IF(#REF!,"AAAAAEuPyZ4=",0)</f>
        <v>#REF!</v>
      </c>
      <c r="FD14" t="e">
        <f>AND(#REF!,"AAAAAEuPyZ8=")</f>
        <v>#REF!</v>
      </c>
      <c r="FE14" t="e">
        <f>AND(#REF!,"AAAAAEuPyaA=")</f>
        <v>#REF!</v>
      </c>
      <c r="FF14" t="e">
        <f>AND(#REF!,"AAAAAEuPyaE=")</f>
        <v>#REF!</v>
      </c>
      <c r="FG14" t="e">
        <f>AND(#REF!,"AAAAAEuPyaI=")</f>
        <v>#REF!</v>
      </c>
      <c r="FH14" t="e">
        <f>AND(#REF!,"AAAAAEuPyaM=")</f>
        <v>#REF!</v>
      </c>
      <c r="FI14" t="e">
        <f>AND(#REF!,"AAAAAEuPyaQ=")</f>
        <v>#REF!</v>
      </c>
      <c r="FJ14" t="e">
        <f>AND(#REF!,"AAAAAEuPyaU=")</f>
        <v>#REF!</v>
      </c>
      <c r="FK14" t="e">
        <f>AND(#REF!,"AAAAAEuPyaY=")</f>
        <v>#REF!</v>
      </c>
      <c r="FL14" t="e">
        <f>AND(#REF!,"AAAAAEuPyac=")</f>
        <v>#REF!</v>
      </c>
      <c r="FM14" t="e">
        <f>AND(#REF!,"AAAAAEuPyag=")</f>
        <v>#REF!</v>
      </c>
      <c r="FN14" t="e">
        <f>AND(#REF!,"AAAAAEuPyak=")</f>
        <v>#REF!</v>
      </c>
      <c r="FO14" t="e">
        <f>AND(#REF!,"AAAAAEuPyao=")</f>
        <v>#REF!</v>
      </c>
      <c r="FP14" t="e">
        <f>IF(#REF!,"AAAAAEuPyas=",0)</f>
        <v>#REF!</v>
      </c>
      <c r="FQ14" t="e">
        <f>AND(#REF!,"AAAAAEuPyaw=")</f>
        <v>#REF!</v>
      </c>
      <c r="FR14" t="e">
        <f>AND(#REF!,"AAAAAEuPya0=")</f>
        <v>#REF!</v>
      </c>
      <c r="FS14" t="e">
        <f>AND(#REF!,"AAAAAEuPya4=")</f>
        <v>#REF!</v>
      </c>
      <c r="FT14" t="e">
        <f>AND(#REF!,"AAAAAEuPya8=")</f>
        <v>#REF!</v>
      </c>
      <c r="FU14" t="e">
        <f>AND(#REF!,"AAAAAEuPybA=")</f>
        <v>#REF!</v>
      </c>
      <c r="FV14" t="e">
        <f>AND(#REF!,"AAAAAEuPybE=")</f>
        <v>#REF!</v>
      </c>
      <c r="FW14" t="e">
        <f>AND(#REF!,"AAAAAEuPybI=")</f>
        <v>#REF!</v>
      </c>
      <c r="FX14" t="e">
        <f>AND(#REF!,"AAAAAEuPybM=")</f>
        <v>#REF!</v>
      </c>
      <c r="FY14" t="e">
        <f>AND(#REF!,"AAAAAEuPybQ=")</f>
        <v>#REF!</v>
      </c>
      <c r="FZ14" t="e">
        <f>AND(#REF!,"AAAAAEuPybU=")</f>
        <v>#REF!</v>
      </c>
      <c r="GA14" t="e">
        <f>AND(#REF!,"AAAAAEuPybY=")</f>
        <v>#REF!</v>
      </c>
      <c r="GB14" t="e">
        <f>AND(#REF!,"AAAAAEuPybc=")</f>
        <v>#REF!</v>
      </c>
      <c r="GC14" t="e">
        <f>IF(#REF!,"AAAAAEuPybg=",0)</f>
        <v>#REF!</v>
      </c>
      <c r="GD14" t="e">
        <f>AND(#REF!,"AAAAAEuPybk=")</f>
        <v>#REF!</v>
      </c>
      <c r="GE14" t="e">
        <f>AND(#REF!,"AAAAAEuPybo=")</f>
        <v>#REF!</v>
      </c>
      <c r="GF14" t="e">
        <f>AND(#REF!,"AAAAAEuPybs=")</f>
        <v>#REF!</v>
      </c>
      <c r="GG14" t="e">
        <f>AND(#REF!,"AAAAAEuPybw=")</f>
        <v>#REF!</v>
      </c>
      <c r="GH14" t="e">
        <f>AND(#REF!,"AAAAAEuPyb0=")</f>
        <v>#REF!</v>
      </c>
      <c r="GI14" t="e">
        <f>AND(#REF!,"AAAAAEuPyb4=")</f>
        <v>#REF!</v>
      </c>
      <c r="GJ14" t="e">
        <f>AND(#REF!,"AAAAAEuPyb8=")</f>
        <v>#REF!</v>
      </c>
      <c r="GK14" t="e">
        <f>AND(#REF!,"AAAAAEuPycA=")</f>
        <v>#REF!</v>
      </c>
      <c r="GL14" t="e">
        <f>AND(#REF!,"AAAAAEuPycE=")</f>
        <v>#REF!</v>
      </c>
      <c r="GM14" t="e">
        <f>AND(#REF!,"AAAAAEuPycI=")</f>
        <v>#REF!</v>
      </c>
      <c r="GN14" t="e">
        <f>AND(#REF!,"AAAAAEuPycM=")</f>
        <v>#REF!</v>
      </c>
      <c r="GO14" t="e">
        <f>AND(#REF!,"AAAAAEuPycQ=")</f>
        <v>#REF!</v>
      </c>
      <c r="GP14" t="e">
        <f>IF(#REF!,"AAAAAEuPycU=",0)</f>
        <v>#REF!</v>
      </c>
      <c r="GQ14" t="e">
        <f>AND(#REF!,"AAAAAEuPycY=")</f>
        <v>#REF!</v>
      </c>
      <c r="GR14" t="e">
        <f>AND(#REF!,"AAAAAEuPycc=")</f>
        <v>#REF!</v>
      </c>
      <c r="GS14" t="e">
        <f>AND(#REF!,"AAAAAEuPycg=")</f>
        <v>#REF!</v>
      </c>
      <c r="GT14" t="e">
        <f>AND(#REF!,"AAAAAEuPyck=")</f>
        <v>#REF!</v>
      </c>
      <c r="GU14" t="e">
        <f>AND(#REF!,"AAAAAEuPyco=")</f>
        <v>#REF!</v>
      </c>
      <c r="GV14" t="e">
        <f>AND(#REF!,"AAAAAEuPycs=")</f>
        <v>#REF!</v>
      </c>
      <c r="GW14" t="e">
        <f>AND(#REF!,"AAAAAEuPycw=")</f>
        <v>#REF!</v>
      </c>
      <c r="GX14" t="e">
        <f>AND(#REF!,"AAAAAEuPyc0=")</f>
        <v>#REF!</v>
      </c>
      <c r="GY14" t="e">
        <f>AND(#REF!,"AAAAAEuPyc4=")</f>
        <v>#REF!</v>
      </c>
      <c r="GZ14" t="e">
        <f>AND(#REF!,"AAAAAEuPyc8=")</f>
        <v>#REF!</v>
      </c>
      <c r="HA14" t="e">
        <f>AND(#REF!,"AAAAAEuPydA=")</f>
        <v>#REF!</v>
      </c>
      <c r="HB14" t="e">
        <f>AND(#REF!,"AAAAAEuPydE=")</f>
        <v>#REF!</v>
      </c>
      <c r="HC14" t="e">
        <f>IF(#REF!,"AAAAAEuPydI=",0)</f>
        <v>#REF!</v>
      </c>
      <c r="HD14" t="e">
        <f>AND(#REF!,"AAAAAEuPydM=")</f>
        <v>#REF!</v>
      </c>
      <c r="HE14" t="e">
        <f>AND(#REF!,"AAAAAEuPydQ=")</f>
        <v>#REF!</v>
      </c>
      <c r="HF14" t="e">
        <f>AND(#REF!,"AAAAAEuPydU=")</f>
        <v>#REF!</v>
      </c>
      <c r="HG14" t="e">
        <f>AND(#REF!,"AAAAAEuPydY=")</f>
        <v>#REF!</v>
      </c>
      <c r="HH14" t="e">
        <f>AND(#REF!,"AAAAAEuPydc=")</f>
        <v>#REF!</v>
      </c>
      <c r="HI14" t="e">
        <f>AND(#REF!,"AAAAAEuPydg=")</f>
        <v>#REF!</v>
      </c>
      <c r="HJ14" t="e">
        <f>AND(#REF!,"AAAAAEuPydk=")</f>
        <v>#REF!</v>
      </c>
      <c r="HK14" t="e">
        <f>AND(#REF!,"AAAAAEuPydo=")</f>
        <v>#REF!</v>
      </c>
      <c r="HL14" t="e">
        <f>AND(#REF!,"AAAAAEuPyds=")</f>
        <v>#REF!</v>
      </c>
      <c r="HM14" t="e">
        <f>AND(#REF!,"AAAAAEuPydw=")</f>
        <v>#REF!</v>
      </c>
      <c r="HN14" t="e">
        <f>AND(#REF!,"AAAAAEuPyd0=")</f>
        <v>#REF!</v>
      </c>
      <c r="HO14" t="e">
        <f>AND(#REF!,"AAAAAEuPyd4=")</f>
        <v>#REF!</v>
      </c>
      <c r="HP14" t="e">
        <f>IF(#REF!,"AAAAAEuPyd8=",0)</f>
        <v>#REF!</v>
      </c>
      <c r="HQ14" t="e">
        <f>AND(#REF!,"AAAAAEuPyeA=")</f>
        <v>#REF!</v>
      </c>
      <c r="HR14" t="e">
        <f>AND(#REF!,"AAAAAEuPyeE=")</f>
        <v>#REF!</v>
      </c>
      <c r="HS14" t="e">
        <f>AND(#REF!,"AAAAAEuPyeI=")</f>
        <v>#REF!</v>
      </c>
      <c r="HT14" t="e">
        <f>AND(#REF!,"AAAAAEuPyeM=")</f>
        <v>#REF!</v>
      </c>
      <c r="HU14" t="e">
        <f>AND(#REF!,"AAAAAEuPyeQ=")</f>
        <v>#REF!</v>
      </c>
      <c r="HV14" t="e">
        <f>AND(#REF!,"AAAAAEuPyeU=")</f>
        <v>#REF!</v>
      </c>
      <c r="HW14" t="e">
        <f>AND(#REF!,"AAAAAEuPyeY=")</f>
        <v>#REF!</v>
      </c>
      <c r="HX14" t="e">
        <f>AND(#REF!,"AAAAAEuPyec=")</f>
        <v>#REF!</v>
      </c>
      <c r="HY14" t="e">
        <f>AND(#REF!,"AAAAAEuPyeg=")</f>
        <v>#REF!</v>
      </c>
      <c r="HZ14" t="e">
        <f>AND(#REF!,"AAAAAEuPyek=")</f>
        <v>#REF!</v>
      </c>
      <c r="IA14" t="e">
        <f>AND(#REF!,"AAAAAEuPyeo=")</f>
        <v>#REF!</v>
      </c>
      <c r="IB14" t="e">
        <f>AND(#REF!,"AAAAAEuPyes=")</f>
        <v>#REF!</v>
      </c>
      <c r="IC14" t="e">
        <f>IF(#REF!,"AAAAAEuPyew=",0)</f>
        <v>#REF!</v>
      </c>
      <c r="ID14" t="e">
        <f>AND(#REF!,"AAAAAEuPye0=")</f>
        <v>#REF!</v>
      </c>
      <c r="IE14" t="e">
        <f>AND(#REF!,"AAAAAEuPye4=")</f>
        <v>#REF!</v>
      </c>
      <c r="IF14" t="e">
        <f>AND(#REF!,"AAAAAEuPye8=")</f>
        <v>#REF!</v>
      </c>
      <c r="IG14" t="e">
        <f>AND(#REF!,"AAAAAEuPyfA=")</f>
        <v>#REF!</v>
      </c>
      <c r="IH14" t="e">
        <f>AND(#REF!,"AAAAAEuPyfE=")</f>
        <v>#REF!</v>
      </c>
      <c r="II14" t="e">
        <f>AND(#REF!,"AAAAAEuPyfI=")</f>
        <v>#REF!</v>
      </c>
      <c r="IJ14" t="e">
        <f>AND(#REF!,"AAAAAEuPyfM=")</f>
        <v>#REF!</v>
      </c>
      <c r="IK14" t="e">
        <f>AND(#REF!,"AAAAAEuPyfQ=")</f>
        <v>#REF!</v>
      </c>
      <c r="IL14" t="e">
        <f>AND(#REF!,"AAAAAEuPyfU=")</f>
        <v>#REF!</v>
      </c>
      <c r="IM14" t="e">
        <f>AND(#REF!,"AAAAAEuPyfY=")</f>
        <v>#REF!</v>
      </c>
      <c r="IN14" t="e">
        <f>AND(#REF!,"AAAAAEuPyfc=")</f>
        <v>#REF!</v>
      </c>
      <c r="IO14" t="e">
        <f>AND(#REF!,"AAAAAEuPyfg=")</f>
        <v>#REF!</v>
      </c>
      <c r="IP14" t="e">
        <f>IF(#REF!,"AAAAAEuPyfk=",0)</f>
        <v>#REF!</v>
      </c>
      <c r="IQ14" t="e">
        <f>IF(#REF!,"AAAAAEuPyfo=",0)</f>
        <v>#REF!</v>
      </c>
      <c r="IR14" t="e">
        <f>IF(#REF!,"AAAAAEuPyfs=",0)</f>
        <v>#REF!</v>
      </c>
      <c r="IS14" t="e">
        <f>IF(#REF!,"AAAAAEuPyfw=",0)</f>
        <v>#REF!</v>
      </c>
      <c r="IT14" t="e">
        <f>IF(#REF!,"AAAAAEuPyf0=",0)</f>
        <v>#REF!</v>
      </c>
      <c r="IU14" t="e">
        <f>IF(#REF!,"AAAAAEuPyf4=",0)</f>
        <v>#REF!</v>
      </c>
      <c r="IV14" t="e">
        <f>IF(#REF!,"AAAAAEuPyf8=",0)</f>
        <v>#REF!</v>
      </c>
    </row>
    <row r="15" spans="1:256" ht="12.75">
      <c r="A15" t="e">
        <f>IF(#REF!,"AAAAAH+82wA=",0)</f>
        <v>#REF!</v>
      </c>
      <c r="B15" t="e">
        <f>IF(#REF!,"AAAAAH+82wE=",0)</f>
        <v>#REF!</v>
      </c>
      <c r="C15" t="e">
        <f>IF(#REF!,"AAAAAH+82wI=",0)</f>
        <v>#REF!</v>
      </c>
      <c r="D15" t="e">
        <f>IF(#REF!,"AAAAAH+82wM=",0)</f>
        <v>#REF!</v>
      </c>
      <c r="E15" t="e">
        <f>IF(#REF!,"AAAAAH+82wQ=",0)</f>
        <v>#REF!</v>
      </c>
      <c r="F15" t="e">
        <f>IF(#REF!,"AAAAAH+82wU=",0)</f>
        <v>#REF!</v>
      </c>
      <c r="G15" t="e">
        <f>IF(#REF!,"AAAAAH+82wY=",0)</f>
        <v>#REF!</v>
      </c>
      <c r="H15" t="e">
        <f>IF(#REF!,"AAAAAH+82wc=",0)</f>
        <v>#REF!</v>
      </c>
      <c r="I15" t="e">
        <f>IF(#REF!,"AAAAAH+82wg=",0)</f>
        <v>#REF!</v>
      </c>
      <c r="J15" t="e">
        <f>IF(#REF!,"AAAAAH+82wk=",0)</f>
        <v>#REF!</v>
      </c>
      <c r="K15" t="e">
        <f>AND(#REF!,"AAAAAH+82wo=")</f>
        <v>#REF!</v>
      </c>
      <c r="L15" t="e">
        <f>AND(#REF!,"AAAAAH+82ws=")</f>
        <v>#REF!</v>
      </c>
      <c r="M15" t="e">
        <f>AND(#REF!,"AAAAAH+82ww=")</f>
        <v>#REF!</v>
      </c>
      <c r="N15" t="e">
        <f>AND(#REF!,"AAAAAH+82w0=")</f>
        <v>#REF!</v>
      </c>
      <c r="O15" t="e">
        <f>AND(#REF!,"AAAAAH+82w4=")</f>
        <v>#REF!</v>
      </c>
      <c r="P15" t="e">
        <f>AND(#REF!,"AAAAAH+82w8=")</f>
        <v>#REF!</v>
      </c>
      <c r="Q15" t="e">
        <f>AND(#REF!,"AAAAAH+82xA=")</f>
        <v>#REF!</v>
      </c>
      <c r="R15" t="e">
        <f>AND(#REF!,"AAAAAH+82xE=")</f>
        <v>#REF!</v>
      </c>
      <c r="S15" t="e">
        <f>AND(#REF!,"AAAAAH+82xI=")</f>
        <v>#REF!</v>
      </c>
      <c r="T15" t="e">
        <f>IF(#REF!,"AAAAAH+82xM=",0)</f>
        <v>#REF!</v>
      </c>
      <c r="U15" t="e">
        <f>AND(#REF!,"AAAAAH+82xQ=")</f>
        <v>#REF!</v>
      </c>
      <c r="V15" t="e">
        <f>AND(#REF!,"AAAAAH+82xU=")</f>
        <v>#REF!</v>
      </c>
      <c r="W15" t="e">
        <f>AND(#REF!,"AAAAAH+82xY=")</f>
        <v>#REF!</v>
      </c>
      <c r="X15" t="e">
        <f>AND(#REF!,"AAAAAH+82xc=")</f>
        <v>#REF!</v>
      </c>
      <c r="Y15" t="e">
        <f>AND(#REF!,"AAAAAH+82xg=")</f>
        <v>#REF!</v>
      </c>
      <c r="Z15" t="e">
        <f>AND(#REF!,"AAAAAH+82xk=")</f>
        <v>#REF!</v>
      </c>
      <c r="AA15" t="e">
        <f>AND(#REF!,"AAAAAH+82xo=")</f>
        <v>#REF!</v>
      </c>
      <c r="AB15" t="e">
        <f>AND(#REF!,"AAAAAH+82xs=")</f>
        <v>#REF!</v>
      </c>
      <c r="AC15" t="e">
        <f>AND(#REF!,"AAAAAH+82xw=")</f>
        <v>#REF!</v>
      </c>
      <c r="AD15" t="e">
        <f>IF(#REF!,"AAAAAH+82x0=",0)</f>
        <v>#REF!</v>
      </c>
      <c r="AE15" t="e">
        <f>AND(#REF!,"AAAAAH+82x4=")</f>
        <v>#REF!</v>
      </c>
      <c r="AF15" t="e">
        <f>AND(#REF!,"AAAAAH+82x8=")</f>
        <v>#REF!</v>
      </c>
      <c r="AG15" t="e">
        <f>AND(#REF!,"AAAAAH+82yA=")</f>
        <v>#REF!</v>
      </c>
      <c r="AH15" t="e">
        <f>AND(#REF!,"AAAAAH+82yE=")</f>
        <v>#REF!</v>
      </c>
      <c r="AI15" t="e">
        <f>AND(#REF!,"AAAAAH+82yI=")</f>
        <v>#REF!</v>
      </c>
      <c r="AJ15" t="e">
        <f>AND(#REF!,"AAAAAH+82yM=")</f>
        <v>#REF!</v>
      </c>
      <c r="AK15" t="e">
        <f>AND(#REF!,"AAAAAH+82yQ=")</f>
        <v>#REF!</v>
      </c>
      <c r="AL15" t="e">
        <f>AND(#REF!,"AAAAAH+82yU=")</f>
        <v>#REF!</v>
      </c>
      <c r="AM15" t="e">
        <f>AND(#REF!,"AAAAAH+82yY=")</f>
        <v>#REF!</v>
      </c>
      <c r="AN15" t="e">
        <f>IF(#REF!,"AAAAAH+82yc=",0)</f>
        <v>#REF!</v>
      </c>
      <c r="AO15" t="e">
        <f>AND(#REF!,"AAAAAH+82yg=")</f>
        <v>#REF!</v>
      </c>
      <c r="AP15" t="e">
        <f>AND(#REF!,"AAAAAH+82yk=")</f>
        <v>#REF!</v>
      </c>
      <c r="AQ15" t="e">
        <f>AND(#REF!,"AAAAAH+82yo=")</f>
        <v>#REF!</v>
      </c>
      <c r="AR15" t="e">
        <f>AND(#REF!,"AAAAAH+82ys=")</f>
        <v>#REF!</v>
      </c>
      <c r="AS15" t="e">
        <f>AND(#REF!,"AAAAAH+82yw=")</f>
        <v>#REF!</v>
      </c>
      <c r="AT15" t="e">
        <f>AND(#REF!,"AAAAAH+82y0=")</f>
        <v>#REF!</v>
      </c>
      <c r="AU15" t="e">
        <f>AND(#REF!,"AAAAAH+82y4=")</f>
        <v>#REF!</v>
      </c>
      <c r="AV15" t="e">
        <f>AND(#REF!,"AAAAAH+82y8=")</f>
        <v>#REF!</v>
      </c>
      <c r="AW15" t="e">
        <f>AND(#REF!,"AAAAAH+82zA=")</f>
        <v>#REF!</v>
      </c>
      <c r="AX15" t="e">
        <f>IF(#REF!,"AAAAAH+82zE=",0)</f>
        <v>#REF!</v>
      </c>
      <c r="AY15" t="e">
        <f>AND(#REF!,"AAAAAH+82zI=")</f>
        <v>#REF!</v>
      </c>
      <c r="AZ15" t="e">
        <f>AND(#REF!,"AAAAAH+82zM=")</f>
        <v>#REF!</v>
      </c>
      <c r="BA15" t="e">
        <f>AND(#REF!,"AAAAAH+82zQ=")</f>
        <v>#REF!</v>
      </c>
      <c r="BB15" t="e">
        <f>AND(#REF!,"AAAAAH+82zU=")</f>
        <v>#REF!</v>
      </c>
      <c r="BC15" t="e">
        <f>AND(#REF!,"AAAAAH+82zY=")</f>
        <v>#REF!</v>
      </c>
      <c r="BD15" t="e">
        <f>AND(#REF!,"AAAAAH+82zc=")</f>
        <v>#REF!</v>
      </c>
      <c r="BE15" t="e">
        <f>AND(#REF!,"AAAAAH+82zg=")</f>
        <v>#REF!</v>
      </c>
      <c r="BF15" t="e">
        <f>AND(#REF!,"AAAAAH+82zk=")</f>
        <v>#REF!</v>
      </c>
      <c r="BG15" t="e">
        <f>AND(#REF!,"AAAAAH+82zo=")</f>
        <v>#REF!</v>
      </c>
      <c r="BH15" t="e">
        <f>IF(#REF!,"AAAAAH+82zs=",0)</f>
        <v>#REF!</v>
      </c>
      <c r="BI15" t="e">
        <f>AND(#REF!,"AAAAAH+82zw=")</f>
        <v>#REF!</v>
      </c>
      <c r="BJ15" t="e">
        <f>AND(#REF!,"AAAAAH+82z0=")</f>
        <v>#REF!</v>
      </c>
      <c r="BK15" t="e">
        <f>AND(#REF!,"AAAAAH+82z4=")</f>
        <v>#REF!</v>
      </c>
      <c r="BL15" t="e">
        <f>AND(#REF!,"AAAAAH+82z8=")</f>
        <v>#REF!</v>
      </c>
      <c r="BM15" t="e">
        <f>AND(#REF!,"AAAAAH+820A=")</f>
        <v>#REF!</v>
      </c>
      <c r="BN15" t="e">
        <f>AND(#REF!,"AAAAAH+820E=")</f>
        <v>#REF!</v>
      </c>
      <c r="BO15" t="e">
        <f>AND(#REF!,"AAAAAH+820I=")</f>
        <v>#REF!</v>
      </c>
      <c r="BP15" t="e">
        <f>AND(#REF!,"AAAAAH+820M=")</f>
        <v>#REF!</v>
      </c>
      <c r="BQ15" t="e">
        <f>AND(#REF!,"AAAAAH+820Q=")</f>
        <v>#REF!</v>
      </c>
      <c r="BR15" t="e">
        <f>IF(#REF!,"AAAAAH+820U=",0)</f>
        <v>#REF!</v>
      </c>
      <c r="BS15" t="e">
        <f>AND(#REF!,"AAAAAH+820Y=")</f>
        <v>#REF!</v>
      </c>
      <c r="BT15" t="e">
        <f>AND(#REF!,"AAAAAH+820c=")</f>
        <v>#REF!</v>
      </c>
      <c r="BU15" t="e">
        <f>AND(#REF!,"AAAAAH+820g=")</f>
        <v>#REF!</v>
      </c>
      <c r="BV15" t="e">
        <f>AND(#REF!,"AAAAAH+820k=")</f>
        <v>#REF!</v>
      </c>
      <c r="BW15" t="e">
        <f>AND(#REF!,"AAAAAH+820o=")</f>
        <v>#REF!</v>
      </c>
      <c r="BX15" t="e">
        <f>AND(#REF!,"AAAAAH+820s=")</f>
        <v>#REF!</v>
      </c>
      <c r="BY15" t="e">
        <f>AND(#REF!,"AAAAAH+820w=")</f>
        <v>#REF!</v>
      </c>
      <c r="BZ15" t="e">
        <f>AND(#REF!,"AAAAAH+8200=")</f>
        <v>#REF!</v>
      </c>
      <c r="CA15" t="e">
        <f>AND(#REF!,"AAAAAH+8204=")</f>
        <v>#REF!</v>
      </c>
      <c r="CB15" t="e">
        <f>IF(#REF!,"AAAAAH+8208=",0)</f>
        <v>#REF!</v>
      </c>
      <c r="CC15" t="e">
        <f>AND(#REF!,"AAAAAH+821A=")</f>
        <v>#REF!</v>
      </c>
      <c r="CD15" t="e">
        <f>AND(#REF!,"AAAAAH+821E=")</f>
        <v>#REF!</v>
      </c>
      <c r="CE15" t="e">
        <f>AND(#REF!,"AAAAAH+821I=")</f>
        <v>#REF!</v>
      </c>
      <c r="CF15" t="e">
        <f>AND(#REF!,"AAAAAH+821M=")</f>
        <v>#REF!</v>
      </c>
      <c r="CG15" t="e">
        <f>AND(#REF!,"AAAAAH+821Q=")</f>
        <v>#REF!</v>
      </c>
      <c r="CH15" t="e">
        <f>AND(#REF!,"AAAAAH+821U=")</f>
        <v>#REF!</v>
      </c>
      <c r="CI15" t="e">
        <f>AND(#REF!,"AAAAAH+821Y=")</f>
        <v>#REF!</v>
      </c>
      <c r="CJ15" t="e">
        <f>AND(#REF!,"AAAAAH+821c=")</f>
        <v>#REF!</v>
      </c>
      <c r="CK15" t="e">
        <f>AND(#REF!,"AAAAAH+821g=")</f>
        <v>#REF!</v>
      </c>
      <c r="CL15" t="e">
        <f>IF(#REF!,"AAAAAH+821k=",0)</f>
        <v>#REF!</v>
      </c>
      <c r="CM15" t="e">
        <f>AND(#REF!,"AAAAAH+821o=")</f>
        <v>#REF!</v>
      </c>
      <c r="CN15" t="e">
        <f>AND(#REF!,"AAAAAH+821s=")</f>
        <v>#REF!</v>
      </c>
      <c r="CO15" t="e">
        <f>AND(#REF!,"AAAAAH+821w=")</f>
        <v>#REF!</v>
      </c>
      <c r="CP15" t="e">
        <f>AND(#REF!,"AAAAAH+8210=")</f>
        <v>#REF!</v>
      </c>
      <c r="CQ15" t="e">
        <f>AND(#REF!,"AAAAAH+8214=")</f>
        <v>#REF!</v>
      </c>
      <c r="CR15" t="e">
        <f>AND(#REF!,"AAAAAH+8218=")</f>
        <v>#REF!</v>
      </c>
      <c r="CS15" t="e">
        <f>AND(#REF!,"AAAAAH+822A=")</f>
        <v>#REF!</v>
      </c>
      <c r="CT15" t="e">
        <f>AND(#REF!,"AAAAAH+822E=")</f>
        <v>#REF!</v>
      </c>
      <c r="CU15" t="e">
        <f>AND(#REF!,"AAAAAH+822I=")</f>
        <v>#REF!</v>
      </c>
      <c r="CV15" t="e">
        <f>IF(#REF!,"AAAAAH+822M=",0)</f>
        <v>#REF!</v>
      </c>
      <c r="CW15" t="e">
        <f>AND(#REF!,"AAAAAH+822Q=")</f>
        <v>#REF!</v>
      </c>
      <c r="CX15" t="e">
        <f>AND(#REF!,"AAAAAH+822U=")</f>
        <v>#REF!</v>
      </c>
      <c r="CY15" t="e">
        <f>AND(#REF!,"AAAAAH+822Y=")</f>
        <v>#REF!</v>
      </c>
      <c r="CZ15" t="e">
        <f>AND(#REF!,"AAAAAH+822c=")</f>
        <v>#REF!</v>
      </c>
      <c r="DA15" t="e">
        <f>AND(#REF!,"AAAAAH+822g=")</f>
        <v>#REF!</v>
      </c>
      <c r="DB15" t="e">
        <f>AND(#REF!,"AAAAAH+822k=")</f>
        <v>#REF!</v>
      </c>
      <c r="DC15" t="e">
        <f>AND(#REF!,"AAAAAH+822o=")</f>
        <v>#REF!</v>
      </c>
      <c r="DD15" t="e">
        <f>AND(#REF!,"AAAAAH+822s=")</f>
        <v>#REF!</v>
      </c>
      <c r="DE15" t="e">
        <f>AND(#REF!,"AAAAAH+822w=")</f>
        <v>#REF!</v>
      </c>
      <c r="DF15" t="e">
        <f>IF(#REF!,"AAAAAH+8220=",0)</f>
        <v>#REF!</v>
      </c>
      <c r="DG15" t="e">
        <f>AND(#REF!,"AAAAAH+8224=")</f>
        <v>#REF!</v>
      </c>
      <c r="DH15" t="e">
        <f>AND(#REF!,"AAAAAH+8228=")</f>
        <v>#REF!</v>
      </c>
      <c r="DI15" t="e">
        <f>AND(#REF!,"AAAAAH+823A=")</f>
        <v>#REF!</v>
      </c>
      <c r="DJ15" t="e">
        <f>AND(#REF!,"AAAAAH+823E=")</f>
        <v>#REF!</v>
      </c>
      <c r="DK15" t="e">
        <f>AND(#REF!,"AAAAAH+823I=")</f>
        <v>#REF!</v>
      </c>
      <c r="DL15" t="e">
        <f>AND(#REF!,"AAAAAH+823M=")</f>
        <v>#REF!</v>
      </c>
      <c r="DM15" t="e">
        <f>AND(#REF!,"AAAAAH+823Q=")</f>
        <v>#REF!</v>
      </c>
      <c r="DN15" t="e">
        <f>AND(#REF!,"AAAAAH+823U=")</f>
        <v>#REF!</v>
      </c>
      <c r="DO15" t="e">
        <f>AND(#REF!,"AAAAAH+823Y=")</f>
        <v>#REF!</v>
      </c>
      <c r="DP15" t="e">
        <f>IF(#REF!,"AAAAAH+823c=",0)</f>
        <v>#REF!</v>
      </c>
      <c r="DQ15" t="e">
        <f>AND(#REF!,"AAAAAH+823g=")</f>
        <v>#REF!</v>
      </c>
      <c r="DR15" t="e">
        <f>AND(#REF!,"AAAAAH+823k=")</f>
        <v>#REF!</v>
      </c>
      <c r="DS15" t="e">
        <f>AND(#REF!,"AAAAAH+823o=")</f>
        <v>#REF!</v>
      </c>
      <c r="DT15" t="e">
        <f>AND(#REF!,"AAAAAH+823s=")</f>
        <v>#REF!</v>
      </c>
      <c r="DU15" t="e">
        <f>AND(#REF!,"AAAAAH+823w=")</f>
        <v>#REF!</v>
      </c>
      <c r="DV15" t="e">
        <f>AND(#REF!,"AAAAAH+8230=")</f>
        <v>#REF!</v>
      </c>
      <c r="DW15" t="e">
        <f>AND(#REF!,"AAAAAH+8234=")</f>
        <v>#REF!</v>
      </c>
      <c r="DX15" t="e">
        <f>AND(#REF!,"AAAAAH+8238=")</f>
        <v>#REF!</v>
      </c>
      <c r="DY15" t="e">
        <f>AND(#REF!,"AAAAAH+824A=")</f>
        <v>#REF!</v>
      </c>
      <c r="DZ15" t="e">
        <f>IF(#REF!,"AAAAAH+824E=",0)</f>
        <v>#REF!</v>
      </c>
      <c r="EA15" t="e">
        <f>AND(#REF!,"AAAAAH+824I=")</f>
        <v>#REF!</v>
      </c>
      <c r="EB15" t="e">
        <f>AND(#REF!,"AAAAAH+824M=")</f>
        <v>#REF!</v>
      </c>
      <c r="EC15" t="e">
        <f>AND(#REF!,"AAAAAH+824Q=")</f>
        <v>#REF!</v>
      </c>
      <c r="ED15" t="e">
        <f>AND(#REF!,"AAAAAH+824U=")</f>
        <v>#REF!</v>
      </c>
      <c r="EE15" t="e">
        <f>AND(#REF!,"AAAAAH+824Y=")</f>
        <v>#REF!</v>
      </c>
      <c r="EF15" t="e">
        <f>AND(#REF!,"AAAAAH+824c=")</f>
        <v>#REF!</v>
      </c>
      <c r="EG15" t="e">
        <f>AND(#REF!,"AAAAAH+824g=")</f>
        <v>#REF!</v>
      </c>
      <c r="EH15" t="e">
        <f>AND(#REF!,"AAAAAH+824k=")</f>
        <v>#REF!</v>
      </c>
      <c r="EI15" t="e">
        <f>AND(#REF!,"AAAAAH+824o=")</f>
        <v>#REF!</v>
      </c>
      <c r="EJ15" t="e">
        <f>IF(#REF!,"AAAAAH+824s=",0)</f>
        <v>#REF!</v>
      </c>
      <c r="EK15" t="e">
        <f>AND(#REF!,"AAAAAH+824w=")</f>
        <v>#REF!</v>
      </c>
      <c r="EL15" t="e">
        <f>AND(#REF!,"AAAAAH+8240=")</f>
        <v>#REF!</v>
      </c>
      <c r="EM15" t="e">
        <f>AND(#REF!,"AAAAAH+8244=")</f>
        <v>#REF!</v>
      </c>
      <c r="EN15" t="e">
        <f>AND(#REF!,"AAAAAH+8248=")</f>
        <v>#REF!</v>
      </c>
      <c r="EO15" t="e">
        <f>AND(#REF!,"AAAAAH+825A=")</f>
        <v>#REF!</v>
      </c>
      <c r="EP15" t="e">
        <f>AND(#REF!,"AAAAAH+825E=")</f>
        <v>#REF!</v>
      </c>
      <c r="EQ15" t="e">
        <f>AND(#REF!,"AAAAAH+825I=")</f>
        <v>#REF!</v>
      </c>
      <c r="ER15" t="e">
        <f>AND(#REF!,"AAAAAH+825M=")</f>
        <v>#REF!</v>
      </c>
      <c r="ES15" t="e">
        <f>AND(#REF!,"AAAAAH+825Q=")</f>
        <v>#REF!</v>
      </c>
      <c r="ET15" t="e">
        <f>IF(#REF!,"AAAAAH+825U=",0)</f>
        <v>#REF!</v>
      </c>
      <c r="EU15" t="e">
        <f>AND(#REF!,"AAAAAH+825Y=")</f>
        <v>#REF!</v>
      </c>
      <c r="EV15" t="e">
        <f>AND(#REF!,"AAAAAH+825c=")</f>
        <v>#REF!</v>
      </c>
      <c r="EW15" t="e">
        <f>AND(#REF!,"AAAAAH+825g=")</f>
        <v>#REF!</v>
      </c>
      <c r="EX15" t="e">
        <f>AND(#REF!,"AAAAAH+825k=")</f>
        <v>#REF!</v>
      </c>
      <c r="EY15" t="e">
        <f>AND(#REF!,"AAAAAH+825o=")</f>
        <v>#REF!</v>
      </c>
      <c r="EZ15" t="e">
        <f>AND(#REF!,"AAAAAH+825s=")</f>
        <v>#REF!</v>
      </c>
      <c r="FA15" t="e">
        <f>AND(#REF!,"AAAAAH+825w=")</f>
        <v>#REF!</v>
      </c>
      <c r="FB15" t="e">
        <f>AND(#REF!,"AAAAAH+8250=")</f>
        <v>#REF!</v>
      </c>
      <c r="FC15" t="e">
        <f>AND(#REF!,"AAAAAH+8254=")</f>
        <v>#REF!</v>
      </c>
      <c r="FD15" t="e">
        <f>IF(#REF!,"AAAAAH+8258=",0)</f>
        <v>#REF!</v>
      </c>
      <c r="FE15" t="e">
        <f>AND(#REF!,"AAAAAH+826A=")</f>
        <v>#REF!</v>
      </c>
      <c r="FF15" t="e">
        <f>AND(#REF!,"AAAAAH+826E=")</f>
        <v>#REF!</v>
      </c>
      <c r="FG15" t="e">
        <f>AND(#REF!,"AAAAAH+826I=")</f>
        <v>#REF!</v>
      </c>
      <c r="FH15" t="e">
        <f>AND(#REF!,"AAAAAH+826M=")</f>
        <v>#REF!</v>
      </c>
      <c r="FI15" t="e">
        <f>AND(#REF!,"AAAAAH+826Q=")</f>
        <v>#REF!</v>
      </c>
      <c r="FJ15" t="e">
        <f>AND(#REF!,"AAAAAH+826U=")</f>
        <v>#REF!</v>
      </c>
      <c r="FK15" t="e">
        <f>AND(#REF!,"AAAAAH+826Y=")</f>
        <v>#REF!</v>
      </c>
      <c r="FL15" t="e">
        <f>AND(#REF!,"AAAAAH+826c=")</f>
        <v>#REF!</v>
      </c>
      <c r="FM15" t="e">
        <f>AND(#REF!,"AAAAAH+826g=")</f>
        <v>#REF!</v>
      </c>
      <c r="FN15" t="e">
        <f>IF(#REF!,"AAAAAH+826k=",0)</f>
        <v>#REF!</v>
      </c>
      <c r="FO15" t="e">
        <f>AND(#REF!,"AAAAAH+826o=")</f>
        <v>#REF!</v>
      </c>
      <c r="FP15" t="e">
        <f>AND(#REF!,"AAAAAH+826s=")</f>
        <v>#REF!</v>
      </c>
      <c r="FQ15" t="e">
        <f>AND(#REF!,"AAAAAH+826w=")</f>
        <v>#REF!</v>
      </c>
      <c r="FR15" t="e">
        <f>AND(#REF!,"AAAAAH+8260=")</f>
        <v>#REF!</v>
      </c>
      <c r="FS15" t="e">
        <f>AND(#REF!,"AAAAAH+8264=")</f>
        <v>#REF!</v>
      </c>
      <c r="FT15" t="e">
        <f>AND(#REF!,"AAAAAH+8268=")</f>
        <v>#REF!</v>
      </c>
      <c r="FU15" t="e">
        <f>AND(#REF!,"AAAAAH+827A=")</f>
        <v>#REF!</v>
      </c>
      <c r="FV15" t="e">
        <f>AND(#REF!,"AAAAAH+827E=")</f>
        <v>#REF!</v>
      </c>
      <c r="FW15" t="e">
        <f>AND(#REF!,"AAAAAH+827I=")</f>
        <v>#REF!</v>
      </c>
      <c r="FX15" t="e">
        <f>IF(#REF!,"AAAAAH+827M=",0)</f>
        <v>#REF!</v>
      </c>
      <c r="FY15" t="e">
        <f>AND(#REF!,"AAAAAH+827Q=")</f>
        <v>#REF!</v>
      </c>
      <c r="FZ15" t="e">
        <f>AND(#REF!,"AAAAAH+827U=")</f>
        <v>#REF!</v>
      </c>
      <c r="GA15" t="e">
        <f>AND(#REF!,"AAAAAH+827Y=")</f>
        <v>#REF!</v>
      </c>
      <c r="GB15" t="e">
        <f>AND(#REF!,"AAAAAH+827c=")</f>
        <v>#REF!</v>
      </c>
      <c r="GC15" t="e">
        <f>AND(#REF!,"AAAAAH+827g=")</f>
        <v>#REF!</v>
      </c>
      <c r="GD15" t="e">
        <f>AND(#REF!,"AAAAAH+827k=")</f>
        <v>#REF!</v>
      </c>
      <c r="GE15" t="e">
        <f>AND(#REF!,"AAAAAH+827o=")</f>
        <v>#REF!</v>
      </c>
      <c r="GF15" t="e">
        <f>AND(#REF!,"AAAAAH+827s=")</f>
        <v>#REF!</v>
      </c>
      <c r="GG15" t="e">
        <f>AND(#REF!,"AAAAAH+827w=")</f>
        <v>#REF!</v>
      </c>
      <c r="GH15" t="e">
        <f>IF(#REF!,"AAAAAH+8270=",0)</f>
        <v>#REF!</v>
      </c>
      <c r="GI15" t="e">
        <f>AND(#REF!,"AAAAAH+8274=")</f>
        <v>#REF!</v>
      </c>
      <c r="GJ15" t="e">
        <f>AND(#REF!,"AAAAAH+8278=")</f>
        <v>#REF!</v>
      </c>
      <c r="GK15" t="e">
        <f>AND(#REF!,"AAAAAH+828A=")</f>
        <v>#REF!</v>
      </c>
      <c r="GL15" t="e">
        <f>AND(#REF!,"AAAAAH+828E=")</f>
        <v>#REF!</v>
      </c>
      <c r="GM15" t="e">
        <f>AND(#REF!,"AAAAAH+828I=")</f>
        <v>#REF!</v>
      </c>
      <c r="GN15" t="e">
        <f>AND(#REF!,"AAAAAH+828M=")</f>
        <v>#REF!</v>
      </c>
      <c r="GO15" t="e">
        <f>AND(#REF!,"AAAAAH+828Q=")</f>
        <v>#REF!</v>
      </c>
      <c r="GP15" t="e">
        <f>AND(#REF!,"AAAAAH+828U=")</f>
        <v>#REF!</v>
      </c>
      <c r="GQ15" t="e">
        <f>AND(#REF!,"AAAAAH+828Y=")</f>
        <v>#REF!</v>
      </c>
      <c r="GR15" t="e">
        <f>IF(#REF!,"AAAAAH+828c=",0)</f>
        <v>#REF!</v>
      </c>
      <c r="GS15" t="e">
        <f>AND(#REF!,"AAAAAH+828g=")</f>
        <v>#REF!</v>
      </c>
      <c r="GT15" t="e">
        <f>AND(#REF!,"AAAAAH+828k=")</f>
        <v>#REF!</v>
      </c>
      <c r="GU15" t="e">
        <f>AND(#REF!,"AAAAAH+828o=")</f>
        <v>#REF!</v>
      </c>
      <c r="GV15" t="e">
        <f>AND(#REF!,"AAAAAH+828s=")</f>
        <v>#REF!</v>
      </c>
      <c r="GW15" t="e">
        <f>AND(#REF!,"AAAAAH+828w=")</f>
        <v>#REF!</v>
      </c>
      <c r="GX15" t="e">
        <f>AND(#REF!,"AAAAAH+8280=")</f>
        <v>#REF!</v>
      </c>
      <c r="GY15" t="e">
        <f>AND(#REF!,"AAAAAH+8284=")</f>
        <v>#REF!</v>
      </c>
      <c r="GZ15" t="e">
        <f>AND(#REF!,"AAAAAH+8288=")</f>
        <v>#REF!</v>
      </c>
      <c r="HA15" t="e">
        <f>AND(#REF!,"AAAAAH+829A=")</f>
        <v>#REF!</v>
      </c>
      <c r="HB15" t="e">
        <f>IF(#REF!,"AAAAAH+829E=",0)</f>
        <v>#REF!</v>
      </c>
      <c r="HC15" t="e">
        <f>AND(#REF!,"AAAAAH+829I=")</f>
        <v>#REF!</v>
      </c>
      <c r="HD15" t="e">
        <f>AND(#REF!,"AAAAAH+829M=")</f>
        <v>#REF!</v>
      </c>
      <c r="HE15" t="e">
        <f>AND(#REF!,"AAAAAH+829Q=")</f>
        <v>#REF!</v>
      </c>
      <c r="HF15" t="e">
        <f>AND(#REF!,"AAAAAH+829U=")</f>
        <v>#REF!</v>
      </c>
      <c r="HG15" t="e">
        <f>AND(#REF!,"AAAAAH+829Y=")</f>
        <v>#REF!</v>
      </c>
      <c r="HH15" t="e">
        <f>AND(#REF!,"AAAAAH+829c=")</f>
        <v>#REF!</v>
      </c>
      <c r="HI15" t="e">
        <f>AND(#REF!,"AAAAAH+829g=")</f>
        <v>#REF!</v>
      </c>
      <c r="HJ15" t="e">
        <f>AND(#REF!,"AAAAAH+829k=")</f>
        <v>#REF!</v>
      </c>
      <c r="HK15" t="e">
        <f>AND(#REF!,"AAAAAH+829o=")</f>
        <v>#REF!</v>
      </c>
      <c r="HL15" t="e">
        <f>IF(#REF!,"AAAAAH+829s=",0)</f>
        <v>#REF!</v>
      </c>
      <c r="HM15" t="e">
        <f>IF(#REF!,"AAAAAH+829w=",0)</f>
        <v>#REF!</v>
      </c>
      <c r="HN15" t="e">
        <f>IF(#REF!,"AAAAAH+8290=",0)</f>
        <v>#REF!</v>
      </c>
      <c r="HO15" t="e">
        <f>IF(#REF!,"AAAAAH+8294=",0)</f>
        <v>#REF!</v>
      </c>
      <c r="HP15" t="e">
        <f>IF(#REF!,"AAAAAH+8298=",0)</f>
        <v>#REF!</v>
      </c>
      <c r="HQ15" t="e">
        <f>IF(#REF!,"AAAAAH+82+A=",0)</f>
        <v>#REF!</v>
      </c>
      <c r="HR15" t="e">
        <f>IF(#REF!,"AAAAAH+82+E=",0)</f>
        <v>#REF!</v>
      </c>
      <c r="HS15" t="e">
        <f>IF(#REF!,"AAAAAH+82+I=",0)</f>
        <v>#REF!</v>
      </c>
      <c r="HT15" t="e">
        <f>IF(#REF!,"AAAAAH+82+M=",0)</f>
        <v>#REF!</v>
      </c>
      <c r="HU15" t="e">
        <f>IF(#REF!,"AAAAAH+82+Q=",0)</f>
        <v>#REF!</v>
      </c>
      <c r="HV15" t="e">
        <f>IF(#REF!,"AAAAAH+82+U=",0)</f>
        <v>#REF!</v>
      </c>
      <c r="HW15" t="e">
        <f>IF(#REF!,"AAAAAH+82+Y=",0)</f>
        <v>#REF!</v>
      </c>
      <c r="HX15" t="e">
        <f>IF(#REF!,"AAAAAH+82+c=",0)</f>
        <v>#REF!</v>
      </c>
      <c r="HY15" t="e">
        <f>IF(#REF!,"AAAAAH+82+g=",0)</f>
        <v>#REF!</v>
      </c>
      <c r="HZ15" t="e">
        <f>AND(#REF!,"AAAAAH+82+k=")</f>
        <v>#REF!</v>
      </c>
      <c r="IA15" t="e">
        <f>AND(#REF!,"AAAAAH+82+o=")</f>
        <v>#REF!</v>
      </c>
      <c r="IB15" t="e">
        <f>AND(#REF!,"AAAAAH+82+s=")</f>
        <v>#REF!</v>
      </c>
      <c r="IC15" t="e">
        <f>AND(#REF!,"AAAAAH+82+w=")</f>
        <v>#REF!</v>
      </c>
      <c r="ID15" t="e">
        <f>AND(#REF!,"AAAAAH+82+0=")</f>
        <v>#REF!</v>
      </c>
      <c r="IE15" t="e">
        <f>AND(#REF!,"AAAAAH+82+4=")</f>
        <v>#REF!</v>
      </c>
      <c r="IF15" t="e">
        <f>AND(#REF!,"AAAAAH+82+8=")</f>
        <v>#REF!</v>
      </c>
      <c r="IG15" t="e">
        <f>AND(#REF!,"AAAAAH+82/A=")</f>
        <v>#REF!</v>
      </c>
      <c r="IH15" t="e">
        <f>IF(#REF!,"AAAAAH+82/E=",0)</f>
        <v>#REF!</v>
      </c>
      <c r="II15" t="e">
        <f>AND(#REF!,"AAAAAH+82/I=")</f>
        <v>#REF!</v>
      </c>
      <c r="IJ15" t="e">
        <f>AND(#REF!,"AAAAAH+82/M=")</f>
        <v>#REF!</v>
      </c>
      <c r="IK15" t="e">
        <f>AND(#REF!,"AAAAAH+82/Q=")</f>
        <v>#REF!</v>
      </c>
      <c r="IL15" t="e">
        <f>AND(#REF!,"AAAAAH+82/U=")</f>
        <v>#REF!</v>
      </c>
      <c r="IM15" t="e">
        <f>AND(#REF!,"AAAAAH+82/Y=")</f>
        <v>#REF!</v>
      </c>
      <c r="IN15" t="e">
        <f>AND(#REF!,"AAAAAH+82/c=")</f>
        <v>#REF!</v>
      </c>
      <c r="IO15" t="e">
        <f>AND(#REF!,"AAAAAH+82/g=")</f>
        <v>#REF!</v>
      </c>
      <c r="IP15" t="e">
        <f>AND(#REF!,"AAAAAH+82/k=")</f>
        <v>#REF!</v>
      </c>
      <c r="IQ15" t="e">
        <f>IF(#REF!,"AAAAAH+82/o=",0)</f>
        <v>#REF!</v>
      </c>
      <c r="IR15" t="e">
        <f>AND(#REF!,"AAAAAH+82/s=")</f>
        <v>#REF!</v>
      </c>
      <c r="IS15" t="e">
        <f>AND(#REF!,"AAAAAH+82/w=")</f>
        <v>#REF!</v>
      </c>
      <c r="IT15" t="e">
        <f>AND(#REF!,"AAAAAH+82/0=")</f>
        <v>#REF!</v>
      </c>
      <c r="IU15" t="e">
        <f>AND(#REF!,"AAAAAH+82/4=")</f>
        <v>#REF!</v>
      </c>
      <c r="IV15" t="e">
        <f>AND(#REF!,"AAAAAH+82/8=")</f>
        <v>#REF!</v>
      </c>
    </row>
    <row r="16" spans="1:256" ht="12.75">
      <c r="A16" t="e">
        <f>AND(#REF!,"AAAAAH/9/gA=")</f>
        <v>#REF!</v>
      </c>
      <c r="B16" t="e">
        <f>AND(#REF!,"AAAAAH/9/gE=")</f>
        <v>#REF!</v>
      </c>
      <c r="C16" t="e">
        <f>AND(#REF!,"AAAAAH/9/gI=")</f>
        <v>#REF!</v>
      </c>
      <c r="D16" t="e">
        <f>IF(#REF!,"AAAAAH/9/gM=",0)</f>
        <v>#REF!</v>
      </c>
      <c r="E16" t="e">
        <f>AND(#REF!,"AAAAAH/9/gQ=")</f>
        <v>#REF!</v>
      </c>
      <c r="F16" t="e">
        <f>AND(#REF!,"AAAAAH/9/gU=")</f>
        <v>#REF!</v>
      </c>
      <c r="G16" t="e">
        <f>AND(#REF!,"AAAAAH/9/gY=")</f>
        <v>#REF!</v>
      </c>
      <c r="H16" t="e">
        <f>AND(#REF!,"AAAAAH/9/gc=")</f>
        <v>#REF!</v>
      </c>
      <c r="I16" t="e">
        <f>AND(#REF!,"AAAAAH/9/gg=")</f>
        <v>#REF!</v>
      </c>
      <c r="J16" t="e">
        <f>AND(#REF!,"AAAAAH/9/gk=")</f>
        <v>#REF!</v>
      </c>
      <c r="K16" t="e">
        <f>AND(#REF!,"AAAAAH/9/go=")</f>
        <v>#REF!</v>
      </c>
      <c r="L16" t="e">
        <f>AND(#REF!,"AAAAAH/9/gs=")</f>
        <v>#REF!</v>
      </c>
      <c r="M16" t="e">
        <f>IF(#REF!,"AAAAAH/9/gw=",0)</f>
        <v>#REF!</v>
      </c>
      <c r="N16" t="e">
        <f>AND(#REF!,"AAAAAH/9/g0=")</f>
        <v>#REF!</v>
      </c>
      <c r="O16" t="e">
        <f>AND(#REF!,"AAAAAH/9/g4=")</f>
        <v>#REF!</v>
      </c>
      <c r="P16" t="e">
        <f>AND(#REF!,"AAAAAH/9/g8=")</f>
        <v>#REF!</v>
      </c>
      <c r="Q16" t="e">
        <f>AND(#REF!,"AAAAAH/9/hA=")</f>
        <v>#REF!</v>
      </c>
      <c r="R16" t="e">
        <f>AND(#REF!,"AAAAAH/9/hE=")</f>
        <v>#REF!</v>
      </c>
      <c r="S16" t="e">
        <f>AND(#REF!,"AAAAAH/9/hI=")</f>
        <v>#REF!</v>
      </c>
      <c r="T16" t="e">
        <f>AND(#REF!,"AAAAAH/9/hM=")</f>
        <v>#REF!</v>
      </c>
      <c r="U16" t="e">
        <f>AND(#REF!,"AAAAAH/9/hQ=")</f>
        <v>#REF!</v>
      </c>
      <c r="V16" t="e">
        <f>IF(#REF!,"AAAAAH/9/hU=",0)</f>
        <v>#REF!</v>
      </c>
      <c r="W16" t="e">
        <f>AND(#REF!,"AAAAAH/9/hY=")</f>
        <v>#REF!</v>
      </c>
      <c r="X16" t="e">
        <f>AND(#REF!,"AAAAAH/9/hc=")</f>
        <v>#REF!</v>
      </c>
      <c r="Y16" t="e">
        <f>AND(#REF!,"AAAAAH/9/hg=")</f>
        <v>#REF!</v>
      </c>
      <c r="Z16" t="e">
        <f>AND(#REF!,"AAAAAH/9/hk=")</f>
        <v>#REF!</v>
      </c>
      <c r="AA16" t="e">
        <f>AND(#REF!,"AAAAAH/9/ho=")</f>
        <v>#REF!</v>
      </c>
      <c r="AB16" t="e">
        <f>AND(#REF!,"AAAAAH/9/hs=")</f>
        <v>#REF!</v>
      </c>
      <c r="AC16" t="e">
        <f>AND(#REF!,"AAAAAH/9/hw=")</f>
        <v>#REF!</v>
      </c>
      <c r="AD16" t="e">
        <f>AND(#REF!,"AAAAAH/9/h0=")</f>
        <v>#REF!</v>
      </c>
      <c r="AE16" t="e">
        <f>IF(#REF!,"AAAAAH/9/h4=",0)</f>
        <v>#REF!</v>
      </c>
      <c r="AF16" t="e">
        <f>AND(#REF!,"AAAAAH/9/h8=")</f>
        <v>#REF!</v>
      </c>
      <c r="AG16" t="e">
        <f>AND(#REF!,"AAAAAH/9/iA=")</f>
        <v>#REF!</v>
      </c>
      <c r="AH16" t="e">
        <f>AND(#REF!,"AAAAAH/9/iE=")</f>
        <v>#REF!</v>
      </c>
      <c r="AI16" t="e">
        <f>AND(#REF!,"AAAAAH/9/iI=")</f>
        <v>#REF!</v>
      </c>
      <c r="AJ16" t="e">
        <f>AND(#REF!,"AAAAAH/9/iM=")</f>
        <v>#REF!</v>
      </c>
      <c r="AK16" t="e">
        <f>AND(#REF!,"AAAAAH/9/iQ=")</f>
        <v>#REF!</v>
      </c>
      <c r="AL16" t="e">
        <f>AND(#REF!,"AAAAAH/9/iU=")</f>
        <v>#REF!</v>
      </c>
      <c r="AM16" t="e">
        <f>AND(#REF!,"AAAAAH/9/iY=")</f>
        <v>#REF!</v>
      </c>
      <c r="AN16" t="e">
        <f>IF(#REF!,"AAAAAH/9/ic=",0)</f>
        <v>#REF!</v>
      </c>
      <c r="AO16" t="e">
        <f>AND(#REF!,"AAAAAH/9/ig=")</f>
        <v>#REF!</v>
      </c>
      <c r="AP16" t="e">
        <f>AND(#REF!,"AAAAAH/9/ik=")</f>
        <v>#REF!</v>
      </c>
      <c r="AQ16" t="e">
        <f>AND(#REF!,"AAAAAH/9/io=")</f>
        <v>#REF!</v>
      </c>
      <c r="AR16" t="e">
        <f>AND(#REF!,"AAAAAH/9/is=")</f>
        <v>#REF!</v>
      </c>
      <c r="AS16" t="e">
        <f>AND(#REF!,"AAAAAH/9/iw=")</f>
        <v>#REF!</v>
      </c>
      <c r="AT16" t="e">
        <f>AND(#REF!,"AAAAAH/9/i0=")</f>
        <v>#REF!</v>
      </c>
      <c r="AU16" t="e">
        <f>AND(#REF!,"AAAAAH/9/i4=")</f>
        <v>#REF!</v>
      </c>
      <c r="AV16" t="e">
        <f>AND(#REF!,"AAAAAH/9/i8=")</f>
        <v>#REF!</v>
      </c>
      <c r="AW16" t="e">
        <f>IF(#REF!,"AAAAAH/9/jA=",0)</f>
        <v>#REF!</v>
      </c>
      <c r="AX16" t="e">
        <f>AND(#REF!,"AAAAAH/9/jE=")</f>
        <v>#REF!</v>
      </c>
      <c r="AY16" t="e">
        <f>AND(#REF!,"AAAAAH/9/jI=")</f>
        <v>#REF!</v>
      </c>
      <c r="AZ16" t="e">
        <f>AND(#REF!,"AAAAAH/9/jM=")</f>
        <v>#REF!</v>
      </c>
      <c r="BA16" t="e">
        <f>AND(#REF!,"AAAAAH/9/jQ=")</f>
        <v>#REF!</v>
      </c>
      <c r="BB16" t="e">
        <f>AND(#REF!,"AAAAAH/9/jU=")</f>
        <v>#REF!</v>
      </c>
      <c r="BC16" t="e">
        <f>AND(#REF!,"AAAAAH/9/jY=")</f>
        <v>#REF!</v>
      </c>
      <c r="BD16" t="e">
        <f>AND(#REF!,"AAAAAH/9/jc=")</f>
        <v>#REF!</v>
      </c>
      <c r="BE16" t="e">
        <f>AND(#REF!,"AAAAAH/9/jg=")</f>
        <v>#REF!</v>
      </c>
      <c r="BF16" t="e">
        <f>IF(#REF!,"AAAAAH/9/jk=",0)</f>
        <v>#REF!</v>
      </c>
      <c r="BG16" t="e">
        <f>AND(#REF!,"AAAAAH/9/jo=")</f>
        <v>#REF!</v>
      </c>
      <c r="BH16" t="e">
        <f>AND(#REF!,"AAAAAH/9/js=")</f>
        <v>#REF!</v>
      </c>
      <c r="BI16" t="e">
        <f>AND(#REF!,"AAAAAH/9/jw=")</f>
        <v>#REF!</v>
      </c>
      <c r="BJ16" t="e">
        <f>AND(#REF!,"AAAAAH/9/j0=")</f>
        <v>#REF!</v>
      </c>
      <c r="BK16" t="e">
        <f>AND(#REF!,"AAAAAH/9/j4=")</f>
        <v>#REF!</v>
      </c>
      <c r="BL16" t="e">
        <f>AND(#REF!,"AAAAAH/9/j8=")</f>
        <v>#REF!</v>
      </c>
      <c r="BM16" t="e">
        <f>AND(#REF!,"AAAAAH/9/kA=")</f>
        <v>#REF!</v>
      </c>
      <c r="BN16" t="e">
        <f>AND(#REF!,"AAAAAH/9/kE=")</f>
        <v>#REF!</v>
      </c>
      <c r="BO16" t="e">
        <f>IF(#REF!,"AAAAAH/9/kI=",0)</f>
        <v>#REF!</v>
      </c>
      <c r="BP16" t="e">
        <f>AND(#REF!,"AAAAAH/9/kM=")</f>
        <v>#REF!</v>
      </c>
      <c r="BQ16" t="e">
        <f>AND(#REF!,"AAAAAH/9/kQ=")</f>
        <v>#REF!</v>
      </c>
      <c r="BR16" t="e">
        <f>AND(#REF!,"AAAAAH/9/kU=")</f>
        <v>#REF!</v>
      </c>
      <c r="BS16" t="e">
        <f>AND(#REF!,"AAAAAH/9/kY=")</f>
        <v>#REF!</v>
      </c>
      <c r="BT16" t="e">
        <f>AND(#REF!,"AAAAAH/9/kc=")</f>
        <v>#REF!</v>
      </c>
      <c r="BU16" t="e">
        <f>AND(#REF!,"AAAAAH/9/kg=")</f>
        <v>#REF!</v>
      </c>
      <c r="BV16" t="e">
        <f>AND(#REF!,"AAAAAH/9/kk=")</f>
        <v>#REF!</v>
      </c>
      <c r="BW16" t="e">
        <f>AND(#REF!,"AAAAAH/9/ko=")</f>
        <v>#REF!</v>
      </c>
      <c r="BX16" t="e">
        <f>IF(#REF!,"AAAAAH/9/ks=",0)</f>
        <v>#REF!</v>
      </c>
      <c r="BY16" t="e">
        <f>AND(#REF!,"AAAAAH/9/kw=")</f>
        <v>#REF!</v>
      </c>
      <c r="BZ16" t="e">
        <f>AND(#REF!,"AAAAAH/9/k0=")</f>
        <v>#REF!</v>
      </c>
      <c r="CA16" t="e">
        <f>AND(#REF!,"AAAAAH/9/k4=")</f>
        <v>#REF!</v>
      </c>
      <c r="CB16" t="e">
        <f>AND(#REF!,"AAAAAH/9/k8=")</f>
        <v>#REF!</v>
      </c>
      <c r="CC16" t="e">
        <f>AND(#REF!,"AAAAAH/9/lA=")</f>
        <v>#REF!</v>
      </c>
      <c r="CD16" t="e">
        <f>AND(#REF!,"AAAAAH/9/lE=")</f>
        <v>#REF!</v>
      </c>
      <c r="CE16" t="e">
        <f>AND(#REF!,"AAAAAH/9/lI=")</f>
        <v>#REF!</v>
      </c>
      <c r="CF16" t="e">
        <f>AND(#REF!,"AAAAAH/9/lM=")</f>
        <v>#REF!</v>
      </c>
      <c r="CG16" t="e">
        <f>IF(#REF!,"AAAAAH/9/lQ=",0)</f>
        <v>#REF!</v>
      </c>
      <c r="CH16" t="e">
        <f>AND(#REF!,"AAAAAH/9/lU=")</f>
        <v>#REF!</v>
      </c>
      <c r="CI16" t="e">
        <f>AND(#REF!,"AAAAAH/9/lY=")</f>
        <v>#REF!</v>
      </c>
      <c r="CJ16" t="e">
        <f>AND(#REF!,"AAAAAH/9/lc=")</f>
        <v>#REF!</v>
      </c>
      <c r="CK16" t="e">
        <f>AND(#REF!,"AAAAAH/9/lg=")</f>
        <v>#REF!</v>
      </c>
      <c r="CL16" t="e">
        <f>AND(#REF!,"AAAAAH/9/lk=")</f>
        <v>#REF!</v>
      </c>
      <c r="CM16" t="e">
        <f>AND(#REF!,"AAAAAH/9/lo=")</f>
        <v>#REF!</v>
      </c>
      <c r="CN16" t="e">
        <f>AND(#REF!,"AAAAAH/9/ls=")</f>
        <v>#REF!</v>
      </c>
      <c r="CO16" t="e">
        <f>AND(#REF!,"AAAAAH/9/lw=")</f>
        <v>#REF!</v>
      </c>
      <c r="CP16" t="e">
        <f>IF(#REF!,"AAAAAH/9/l0=",0)</f>
        <v>#REF!</v>
      </c>
      <c r="CQ16" t="e">
        <f>AND(#REF!,"AAAAAH/9/l4=")</f>
        <v>#REF!</v>
      </c>
      <c r="CR16" t="e">
        <f>AND(#REF!,"AAAAAH/9/l8=")</f>
        <v>#REF!</v>
      </c>
      <c r="CS16" t="e">
        <f>AND(#REF!,"AAAAAH/9/mA=")</f>
        <v>#REF!</v>
      </c>
      <c r="CT16" t="e">
        <f>AND(#REF!,"AAAAAH/9/mE=")</f>
        <v>#REF!</v>
      </c>
      <c r="CU16" t="e">
        <f>AND(#REF!,"AAAAAH/9/mI=")</f>
        <v>#REF!</v>
      </c>
      <c r="CV16" t="e">
        <f>AND(#REF!,"AAAAAH/9/mM=")</f>
        <v>#REF!</v>
      </c>
      <c r="CW16" t="e">
        <f>AND(#REF!,"AAAAAH/9/mQ=")</f>
        <v>#REF!</v>
      </c>
      <c r="CX16" t="e">
        <f>AND(#REF!,"AAAAAH/9/mU=")</f>
        <v>#REF!</v>
      </c>
      <c r="CY16" t="e">
        <f>IF(#REF!,"AAAAAH/9/mY=",0)</f>
        <v>#REF!</v>
      </c>
      <c r="CZ16" t="e">
        <f>AND(#REF!,"AAAAAH/9/mc=")</f>
        <v>#REF!</v>
      </c>
      <c r="DA16" t="e">
        <f>AND(#REF!,"AAAAAH/9/mg=")</f>
        <v>#REF!</v>
      </c>
      <c r="DB16" t="e">
        <f>AND(#REF!,"AAAAAH/9/mk=")</f>
        <v>#REF!</v>
      </c>
      <c r="DC16" t="e">
        <f>AND(#REF!,"AAAAAH/9/mo=")</f>
        <v>#REF!</v>
      </c>
      <c r="DD16" t="e">
        <f>AND(#REF!,"AAAAAH/9/ms=")</f>
        <v>#REF!</v>
      </c>
      <c r="DE16" t="e">
        <f>AND(#REF!,"AAAAAH/9/mw=")</f>
        <v>#REF!</v>
      </c>
      <c r="DF16" t="e">
        <f>AND(#REF!,"AAAAAH/9/m0=")</f>
        <v>#REF!</v>
      </c>
      <c r="DG16" t="e">
        <f>AND(#REF!,"AAAAAH/9/m4=")</f>
        <v>#REF!</v>
      </c>
      <c r="DH16" t="e">
        <f>IF(#REF!,"AAAAAH/9/m8=",0)</f>
        <v>#REF!</v>
      </c>
      <c r="DI16" t="e">
        <f>AND(#REF!,"AAAAAH/9/nA=")</f>
        <v>#REF!</v>
      </c>
      <c r="DJ16" t="e">
        <f>AND(#REF!,"AAAAAH/9/nE=")</f>
        <v>#REF!</v>
      </c>
      <c r="DK16" t="e">
        <f>AND(#REF!,"AAAAAH/9/nI=")</f>
        <v>#REF!</v>
      </c>
      <c r="DL16" t="e">
        <f>AND(#REF!,"AAAAAH/9/nM=")</f>
        <v>#REF!</v>
      </c>
      <c r="DM16" t="e">
        <f>AND(#REF!,"AAAAAH/9/nQ=")</f>
        <v>#REF!</v>
      </c>
      <c r="DN16" t="e">
        <f>AND(#REF!,"AAAAAH/9/nU=")</f>
        <v>#REF!</v>
      </c>
      <c r="DO16" t="e">
        <f>AND(#REF!,"AAAAAH/9/nY=")</f>
        <v>#REF!</v>
      </c>
      <c r="DP16" t="e">
        <f>AND(#REF!,"AAAAAH/9/nc=")</f>
        <v>#REF!</v>
      </c>
      <c r="DQ16" t="e">
        <f>IF(#REF!,"AAAAAH/9/ng=",0)</f>
        <v>#REF!</v>
      </c>
      <c r="DR16" t="e">
        <f>AND(#REF!,"AAAAAH/9/nk=")</f>
        <v>#REF!</v>
      </c>
      <c r="DS16" t="e">
        <f>AND(#REF!,"AAAAAH/9/no=")</f>
        <v>#REF!</v>
      </c>
      <c r="DT16" t="e">
        <f>AND(#REF!,"AAAAAH/9/ns=")</f>
        <v>#REF!</v>
      </c>
      <c r="DU16" t="e">
        <f>AND(#REF!,"AAAAAH/9/nw=")</f>
        <v>#REF!</v>
      </c>
      <c r="DV16" t="e">
        <f>AND(#REF!,"AAAAAH/9/n0=")</f>
        <v>#REF!</v>
      </c>
      <c r="DW16" t="e">
        <f>AND(#REF!,"AAAAAH/9/n4=")</f>
        <v>#REF!</v>
      </c>
      <c r="DX16" t="e">
        <f>AND(#REF!,"AAAAAH/9/n8=")</f>
        <v>#REF!</v>
      </c>
      <c r="DY16" t="e">
        <f>AND(#REF!,"AAAAAH/9/oA=")</f>
        <v>#REF!</v>
      </c>
      <c r="DZ16" t="e">
        <f>IF(#REF!,"AAAAAH/9/oE=",0)</f>
        <v>#REF!</v>
      </c>
      <c r="EA16" t="e">
        <f>AND(#REF!,"AAAAAH/9/oI=")</f>
        <v>#REF!</v>
      </c>
      <c r="EB16" t="e">
        <f>AND(#REF!,"AAAAAH/9/oM=")</f>
        <v>#REF!</v>
      </c>
      <c r="EC16" t="e">
        <f>AND(#REF!,"AAAAAH/9/oQ=")</f>
        <v>#REF!</v>
      </c>
      <c r="ED16" t="e">
        <f>AND(#REF!,"AAAAAH/9/oU=")</f>
        <v>#REF!</v>
      </c>
      <c r="EE16" t="e">
        <f>AND(#REF!,"AAAAAH/9/oY=")</f>
        <v>#REF!</v>
      </c>
      <c r="EF16" t="e">
        <f>AND(#REF!,"AAAAAH/9/oc=")</f>
        <v>#REF!</v>
      </c>
      <c r="EG16" t="e">
        <f>AND(#REF!,"AAAAAH/9/og=")</f>
        <v>#REF!</v>
      </c>
      <c r="EH16" t="e">
        <f>AND(#REF!,"AAAAAH/9/ok=")</f>
        <v>#REF!</v>
      </c>
      <c r="EI16" t="e">
        <f>IF(#REF!,"AAAAAH/9/oo=",0)</f>
        <v>#REF!</v>
      </c>
      <c r="EJ16" t="e">
        <f>AND(#REF!,"AAAAAH/9/os=")</f>
        <v>#REF!</v>
      </c>
      <c r="EK16" t="e">
        <f>AND(#REF!,"AAAAAH/9/ow=")</f>
        <v>#REF!</v>
      </c>
      <c r="EL16" t="e">
        <f>AND(#REF!,"AAAAAH/9/o0=")</f>
        <v>#REF!</v>
      </c>
      <c r="EM16" t="e">
        <f>AND(#REF!,"AAAAAH/9/o4=")</f>
        <v>#REF!</v>
      </c>
      <c r="EN16" t="e">
        <f>AND(#REF!,"AAAAAH/9/o8=")</f>
        <v>#REF!</v>
      </c>
      <c r="EO16" t="e">
        <f>AND(#REF!,"AAAAAH/9/pA=")</f>
        <v>#REF!</v>
      </c>
      <c r="EP16" t="e">
        <f>AND(#REF!,"AAAAAH/9/pE=")</f>
        <v>#REF!</v>
      </c>
      <c r="EQ16" t="e">
        <f>AND(#REF!,"AAAAAH/9/pI=")</f>
        <v>#REF!</v>
      </c>
      <c r="ER16" t="e">
        <f>IF(#REF!,"AAAAAH/9/pM=",0)</f>
        <v>#REF!</v>
      </c>
      <c r="ES16" t="e">
        <f>AND(#REF!,"AAAAAH/9/pQ=")</f>
        <v>#REF!</v>
      </c>
      <c r="ET16" t="e">
        <f>AND(#REF!,"AAAAAH/9/pU=")</f>
        <v>#REF!</v>
      </c>
      <c r="EU16" t="e">
        <f>AND(#REF!,"AAAAAH/9/pY=")</f>
        <v>#REF!</v>
      </c>
      <c r="EV16" t="e">
        <f>AND(#REF!,"AAAAAH/9/pc=")</f>
        <v>#REF!</v>
      </c>
      <c r="EW16" t="e">
        <f>AND(#REF!,"AAAAAH/9/pg=")</f>
        <v>#REF!</v>
      </c>
      <c r="EX16" t="e">
        <f>AND(#REF!,"AAAAAH/9/pk=")</f>
        <v>#REF!</v>
      </c>
      <c r="EY16" t="e">
        <f>AND(#REF!,"AAAAAH/9/po=")</f>
        <v>#REF!</v>
      </c>
      <c r="EZ16" t="e">
        <f>AND(#REF!,"AAAAAH/9/ps=")</f>
        <v>#REF!</v>
      </c>
      <c r="FA16" t="e">
        <f>IF(#REF!,"AAAAAH/9/pw=",0)</f>
        <v>#REF!</v>
      </c>
      <c r="FB16" t="e">
        <f>AND(#REF!,"AAAAAH/9/p0=")</f>
        <v>#REF!</v>
      </c>
      <c r="FC16" t="e">
        <f>AND(#REF!,"AAAAAH/9/p4=")</f>
        <v>#REF!</v>
      </c>
      <c r="FD16" t="e">
        <f>AND(#REF!,"AAAAAH/9/p8=")</f>
        <v>#REF!</v>
      </c>
      <c r="FE16" t="e">
        <f>AND(#REF!,"AAAAAH/9/qA=")</f>
        <v>#REF!</v>
      </c>
      <c r="FF16" t="e">
        <f>AND(#REF!,"AAAAAH/9/qE=")</f>
        <v>#REF!</v>
      </c>
      <c r="FG16" t="e">
        <f>AND(#REF!,"AAAAAH/9/qI=")</f>
        <v>#REF!</v>
      </c>
      <c r="FH16" t="e">
        <f>AND(#REF!,"AAAAAH/9/qM=")</f>
        <v>#REF!</v>
      </c>
      <c r="FI16" t="e">
        <f>AND(#REF!,"AAAAAH/9/qQ=")</f>
        <v>#REF!</v>
      </c>
      <c r="FJ16" t="e">
        <f>IF(#REF!,"AAAAAH/9/qU=",0)</f>
        <v>#REF!</v>
      </c>
      <c r="FK16" t="e">
        <f>IF(#REF!,"AAAAAH/9/qY=",0)</f>
        <v>#REF!</v>
      </c>
      <c r="FL16" t="e">
        <f>IF(#REF!,"AAAAAH/9/qc=",0)</f>
        <v>#REF!</v>
      </c>
      <c r="FM16" t="e">
        <f>IF(#REF!,"AAAAAH/9/qg=",0)</f>
        <v>#REF!</v>
      </c>
      <c r="FN16" t="e">
        <f>IF(#REF!,"AAAAAH/9/qk=",0)</f>
        <v>#REF!</v>
      </c>
      <c r="FO16" t="e">
        <f>IF(#REF!,"AAAAAH/9/qo=",0)</f>
        <v>#REF!</v>
      </c>
      <c r="FP16" t="e">
        <f>IF(#REF!,"AAAAAH/9/qs=",0)</f>
        <v>#REF!</v>
      </c>
      <c r="FQ16" t="e">
        <f>IF(#REF!,"AAAAAH/9/qw=",0)</f>
        <v>#REF!</v>
      </c>
      <c r="FR16" t="e">
        <f>IF(#REF!,"AAAAAH/9/q0=",0)</f>
        <v>#REF!</v>
      </c>
      <c r="FS16" t="e">
        <f>AND(#REF!,"AAAAAH/9/q4=")</f>
        <v>#REF!</v>
      </c>
      <c r="FT16" t="e">
        <f>AND(#REF!,"AAAAAH/9/q8=")</f>
        <v>#REF!</v>
      </c>
      <c r="FU16" t="e">
        <f>AND(#REF!,"AAAAAH/9/rA=")</f>
        <v>#REF!</v>
      </c>
      <c r="FV16" t="e">
        <f>AND(#REF!,"AAAAAH/9/rE=")</f>
        <v>#REF!</v>
      </c>
      <c r="FW16" t="e">
        <f>AND(#REF!,"AAAAAH/9/rI=")</f>
        <v>#REF!</v>
      </c>
      <c r="FX16" t="e">
        <f>AND(#REF!,"AAAAAH/9/rM=")</f>
        <v>#REF!</v>
      </c>
      <c r="FY16" t="e">
        <f>AND(#REF!,"AAAAAH/9/rQ=")</f>
        <v>#REF!</v>
      </c>
      <c r="FZ16" t="e">
        <f>AND(#REF!,"AAAAAH/9/rU=")</f>
        <v>#REF!</v>
      </c>
      <c r="GA16" t="e">
        <f>AND(#REF!,"AAAAAH/9/rY=")</f>
        <v>#REF!</v>
      </c>
      <c r="GB16" t="e">
        <f>IF(#REF!,"AAAAAH/9/rc=",0)</f>
        <v>#REF!</v>
      </c>
      <c r="GC16" t="e">
        <f>AND(#REF!,"AAAAAH/9/rg=")</f>
        <v>#REF!</v>
      </c>
      <c r="GD16" t="e">
        <f>AND(#REF!,"AAAAAH/9/rk=")</f>
        <v>#REF!</v>
      </c>
      <c r="GE16" t="e">
        <f>AND(#REF!,"AAAAAH/9/ro=")</f>
        <v>#REF!</v>
      </c>
      <c r="GF16" t="e">
        <f>AND(#REF!,"AAAAAH/9/rs=")</f>
        <v>#REF!</v>
      </c>
      <c r="GG16" t="e">
        <f>AND(#REF!,"AAAAAH/9/rw=")</f>
        <v>#REF!</v>
      </c>
      <c r="GH16" t="e">
        <f>AND(#REF!,"AAAAAH/9/r0=")</f>
        <v>#REF!</v>
      </c>
      <c r="GI16" t="e">
        <f>AND(#REF!,"AAAAAH/9/r4=")</f>
        <v>#REF!</v>
      </c>
      <c r="GJ16" t="e">
        <f>AND(#REF!,"AAAAAH/9/r8=")</f>
        <v>#REF!</v>
      </c>
      <c r="GK16" t="e">
        <f>AND(#REF!,"AAAAAH/9/sA=")</f>
        <v>#REF!</v>
      </c>
      <c r="GL16" t="e">
        <f>IF(#REF!,"AAAAAH/9/sE=",0)</f>
        <v>#REF!</v>
      </c>
      <c r="GM16" t="e">
        <f>AND(#REF!,"AAAAAH/9/sI=")</f>
        <v>#REF!</v>
      </c>
      <c r="GN16" t="e">
        <f>AND(#REF!,"AAAAAH/9/sM=")</f>
        <v>#REF!</v>
      </c>
      <c r="GO16" t="e">
        <f>AND(#REF!,"AAAAAH/9/sQ=")</f>
        <v>#REF!</v>
      </c>
      <c r="GP16" t="e">
        <f>AND(#REF!,"AAAAAH/9/sU=")</f>
        <v>#REF!</v>
      </c>
      <c r="GQ16" t="e">
        <f>AND(#REF!,"AAAAAH/9/sY=")</f>
        <v>#REF!</v>
      </c>
      <c r="GR16" t="e">
        <f>AND(#REF!,"AAAAAH/9/sc=")</f>
        <v>#REF!</v>
      </c>
      <c r="GS16" t="e">
        <f>AND(#REF!,"AAAAAH/9/sg=")</f>
        <v>#REF!</v>
      </c>
      <c r="GT16" t="e">
        <f>AND(#REF!,"AAAAAH/9/sk=")</f>
        <v>#REF!</v>
      </c>
      <c r="GU16" t="e">
        <f>AND(#REF!,"AAAAAH/9/so=")</f>
        <v>#REF!</v>
      </c>
      <c r="GV16" t="e">
        <f>IF(#REF!,"AAAAAH/9/ss=",0)</f>
        <v>#REF!</v>
      </c>
      <c r="GW16" t="e">
        <f>AND(#REF!,"AAAAAH/9/sw=")</f>
        <v>#REF!</v>
      </c>
      <c r="GX16" t="e">
        <f>AND(#REF!,"AAAAAH/9/s0=")</f>
        <v>#REF!</v>
      </c>
      <c r="GY16" t="e">
        <f>AND(#REF!,"AAAAAH/9/s4=")</f>
        <v>#REF!</v>
      </c>
      <c r="GZ16" t="e">
        <f>AND(#REF!,"AAAAAH/9/s8=")</f>
        <v>#REF!</v>
      </c>
      <c r="HA16" t="e">
        <f>AND(#REF!,"AAAAAH/9/tA=")</f>
        <v>#REF!</v>
      </c>
      <c r="HB16" t="e">
        <f>AND(#REF!,"AAAAAH/9/tE=")</f>
        <v>#REF!</v>
      </c>
      <c r="HC16" t="e">
        <f>AND(#REF!,"AAAAAH/9/tI=")</f>
        <v>#REF!</v>
      </c>
      <c r="HD16" t="e">
        <f>AND(#REF!,"AAAAAH/9/tM=")</f>
        <v>#REF!</v>
      </c>
      <c r="HE16" t="e">
        <f>AND(#REF!,"AAAAAH/9/tQ=")</f>
        <v>#REF!</v>
      </c>
      <c r="HF16" t="e">
        <f>IF(#REF!,"AAAAAH/9/tU=",0)</f>
        <v>#REF!</v>
      </c>
      <c r="HG16" t="e">
        <f>AND(#REF!,"AAAAAH/9/tY=")</f>
        <v>#REF!</v>
      </c>
      <c r="HH16" t="e">
        <f>AND(#REF!,"AAAAAH/9/tc=")</f>
        <v>#REF!</v>
      </c>
      <c r="HI16" t="e">
        <f>AND(#REF!,"AAAAAH/9/tg=")</f>
        <v>#REF!</v>
      </c>
      <c r="HJ16" t="e">
        <f>AND(#REF!,"AAAAAH/9/tk=")</f>
        <v>#REF!</v>
      </c>
      <c r="HK16" t="e">
        <f>AND(#REF!,"AAAAAH/9/to=")</f>
        <v>#REF!</v>
      </c>
      <c r="HL16" t="e">
        <f>AND(#REF!,"AAAAAH/9/ts=")</f>
        <v>#REF!</v>
      </c>
      <c r="HM16" t="e">
        <f>AND(#REF!,"AAAAAH/9/tw=")</f>
        <v>#REF!</v>
      </c>
      <c r="HN16" t="e">
        <f>AND(#REF!,"AAAAAH/9/t0=")</f>
        <v>#REF!</v>
      </c>
      <c r="HO16" t="e">
        <f>AND(#REF!,"AAAAAH/9/t4=")</f>
        <v>#REF!</v>
      </c>
      <c r="HP16" t="e">
        <f>IF(#REF!,"AAAAAH/9/t8=",0)</f>
        <v>#REF!</v>
      </c>
      <c r="HQ16" t="e">
        <f>AND(#REF!,"AAAAAH/9/uA=")</f>
        <v>#REF!</v>
      </c>
      <c r="HR16" t="e">
        <f>AND(#REF!,"AAAAAH/9/uE=")</f>
        <v>#REF!</v>
      </c>
      <c r="HS16" t="e">
        <f>AND(#REF!,"AAAAAH/9/uI=")</f>
        <v>#REF!</v>
      </c>
      <c r="HT16" t="e">
        <f>AND(#REF!,"AAAAAH/9/uM=")</f>
        <v>#REF!</v>
      </c>
      <c r="HU16" t="e">
        <f>AND(#REF!,"AAAAAH/9/uQ=")</f>
        <v>#REF!</v>
      </c>
      <c r="HV16" t="e">
        <f>AND(#REF!,"AAAAAH/9/uU=")</f>
        <v>#REF!</v>
      </c>
      <c r="HW16" t="e">
        <f>AND(#REF!,"AAAAAH/9/uY=")</f>
        <v>#REF!</v>
      </c>
      <c r="HX16" t="e">
        <f>AND(#REF!,"AAAAAH/9/uc=")</f>
        <v>#REF!</v>
      </c>
      <c r="HY16" t="e">
        <f>AND(#REF!,"AAAAAH/9/ug=")</f>
        <v>#REF!</v>
      </c>
      <c r="HZ16" t="e">
        <f>IF(#REF!,"AAAAAH/9/uk=",0)</f>
        <v>#REF!</v>
      </c>
      <c r="IA16" t="e">
        <f>AND(#REF!,"AAAAAH/9/uo=")</f>
        <v>#REF!</v>
      </c>
      <c r="IB16" t="e">
        <f>AND(#REF!,"AAAAAH/9/us=")</f>
        <v>#REF!</v>
      </c>
      <c r="IC16" t="e">
        <f>AND(#REF!,"AAAAAH/9/uw=")</f>
        <v>#REF!</v>
      </c>
      <c r="ID16" t="e">
        <f>AND(#REF!,"AAAAAH/9/u0=")</f>
        <v>#REF!</v>
      </c>
      <c r="IE16" t="e">
        <f>AND(#REF!,"AAAAAH/9/u4=")</f>
        <v>#REF!</v>
      </c>
      <c r="IF16" t="e">
        <f>AND(#REF!,"AAAAAH/9/u8=")</f>
        <v>#REF!</v>
      </c>
      <c r="IG16" t="e">
        <f>AND(#REF!,"AAAAAH/9/vA=")</f>
        <v>#REF!</v>
      </c>
      <c r="IH16" t="e">
        <f>AND(#REF!,"AAAAAH/9/vE=")</f>
        <v>#REF!</v>
      </c>
      <c r="II16" t="e">
        <f>AND(#REF!,"AAAAAH/9/vI=")</f>
        <v>#REF!</v>
      </c>
      <c r="IJ16" t="e">
        <f>IF(#REF!,"AAAAAH/9/vM=",0)</f>
        <v>#REF!</v>
      </c>
      <c r="IK16" t="e">
        <f>AND(#REF!,"AAAAAH/9/vQ=")</f>
        <v>#REF!</v>
      </c>
      <c r="IL16" t="e">
        <f>AND(#REF!,"AAAAAH/9/vU=")</f>
        <v>#REF!</v>
      </c>
      <c r="IM16" t="e">
        <f>AND(#REF!,"AAAAAH/9/vY=")</f>
        <v>#REF!</v>
      </c>
      <c r="IN16" t="e">
        <f>AND(#REF!,"AAAAAH/9/vc=")</f>
        <v>#REF!</v>
      </c>
      <c r="IO16" t="e">
        <f>AND(#REF!,"AAAAAH/9/vg=")</f>
        <v>#REF!</v>
      </c>
      <c r="IP16" t="e">
        <f>AND(#REF!,"AAAAAH/9/vk=")</f>
        <v>#REF!</v>
      </c>
      <c r="IQ16" t="e">
        <f>AND(#REF!,"AAAAAH/9/vo=")</f>
        <v>#REF!</v>
      </c>
      <c r="IR16" t="e">
        <f>AND(#REF!,"AAAAAH/9/vs=")</f>
        <v>#REF!</v>
      </c>
      <c r="IS16" t="e">
        <f>AND(#REF!,"AAAAAH/9/vw=")</f>
        <v>#REF!</v>
      </c>
      <c r="IT16" t="e">
        <f>IF(#REF!,"AAAAAH/9/v0=",0)</f>
        <v>#REF!</v>
      </c>
      <c r="IU16" t="e">
        <f>AND(#REF!,"AAAAAH/9/v4=")</f>
        <v>#REF!</v>
      </c>
      <c r="IV16" t="e">
        <f>AND(#REF!,"AAAAAH/9/v8=")</f>
        <v>#REF!</v>
      </c>
    </row>
    <row r="17" spans="1:256" ht="12.75">
      <c r="A17" t="e">
        <f>AND(#REF!,"AAAAAG7VXwA=")</f>
        <v>#REF!</v>
      </c>
      <c r="B17" t="e">
        <f>AND(#REF!,"AAAAAG7VXwE=")</f>
        <v>#REF!</v>
      </c>
      <c r="C17" t="e">
        <f>AND(#REF!,"AAAAAG7VXwI=")</f>
        <v>#REF!</v>
      </c>
      <c r="D17" t="e">
        <f>AND(#REF!,"AAAAAG7VXwM=")</f>
        <v>#REF!</v>
      </c>
      <c r="E17" t="e">
        <f>AND(#REF!,"AAAAAG7VXwQ=")</f>
        <v>#REF!</v>
      </c>
      <c r="F17" t="e">
        <f>AND(#REF!,"AAAAAG7VXwU=")</f>
        <v>#REF!</v>
      </c>
      <c r="G17" t="e">
        <f>AND(#REF!,"AAAAAG7VXwY=")</f>
        <v>#REF!</v>
      </c>
      <c r="H17" t="e">
        <f>IF(#REF!,"AAAAAG7VXwc=",0)</f>
        <v>#REF!</v>
      </c>
      <c r="I17" t="e">
        <f>AND(#REF!,"AAAAAG7VXwg=")</f>
        <v>#REF!</v>
      </c>
      <c r="J17" t="e">
        <f>AND(#REF!,"AAAAAG7VXwk=")</f>
        <v>#REF!</v>
      </c>
      <c r="K17" t="e">
        <f>AND(#REF!,"AAAAAG7VXwo=")</f>
        <v>#REF!</v>
      </c>
      <c r="L17" t="e">
        <f>AND(#REF!,"AAAAAG7VXws=")</f>
        <v>#REF!</v>
      </c>
      <c r="M17" t="e">
        <f>AND(#REF!,"AAAAAG7VXww=")</f>
        <v>#REF!</v>
      </c>
      <c r="N17" t="e">
        <f>AND(#REF!,"AAAAAG7VXw0=")</f>
        <v>#REF!</v>
      </c>
      <c r="O17" t="e">
        <f>AND(#REF!,"AAAAAG7VXw4=")</f>
        <v>#REF!</v>
      </c>
      <c r="P17" t="e">
        <f>AND(#REF!,"AAAAAG7VXw8=")</f>
        <v>#REF!</v>
      </c>
      <c r="Q17" t="e">
        <f>AND(#REF!,"AAAAAG7VXxA=")</f>
        <v>#REF!</v>
      </c>
      <c r="R17" t="e">
        <f>IF(#REF!,"AAAAAG7VXxE=",0)</f>
        <v>#REF!</v>
      </c>
      <c r="S17" t="e">
        <f>AND(#REF!,"AAAAAG7VXxI=")</f>
        <v>#REF!</v>
      </c>
      <c r="T17" t="e">
        <f>AND(#REF!,"AAAAAG7VXxM=")</f>
        <v>#REF!</v>
      </c>
      <c r="U17" t="e">
        <f>AND(#REF!,"AAAAAG7VXxQ=")</f>
        <v>#REF!</v>
      </c>
      <c r="V17" t="e">
        <f>AND(#REF!,"AAAAAG7VXxU=")</f>
        <v>#REF!</v>
      </c>
      <c r="W17" t="e">
        <f>AND(#REF!,"AAAAAG7VXxY=")</f>
        <v>#REF!</v>
      </c>
      <c r="X17" t="e">
        <f>AND(#REF!,"AAAAAG7VXxc=")</f>
        <v>#REF!</v>
      </c>
      <c r="Y17" t="e">
        <f>AND(#REF!,"AAAAAG7VXxg=")</f>
        <v>#REF!</v>
      </c>
      <c r="Z17" t="e">
        <f>AND(#REF!,"AAAAAG7VXxk=")</f>
        <v>#REF!</v>
      </c>
      <c r="AA17" t="e">
        <f>AND(#REF!,"AAAAAG7VXxo=")</f>
        <v>#REF!</v>
      </c>
      <c r="AB17" t="e">
        <f>IF(#REF!,"AAAAAG7VXxs=",0)</f>
        <v>#REF!</v>
      </c>
      <c r="AC17" t="e">
        <f>AND(#REF!,"AAAAAG7VXxw=")</f>
        <v>#REF!</v>
      </c>
      <c r="AD17" t="e">
        <f>AND(#REF!,"AAAAAG7VXx0=")</f>
        <v>#REF!</v>
      </c>
      <c r="AE17" t="e">
        <f>AND(#REF!,"AAAAAG7VXx4=")</f>
        <v>#REF!</v>
      </c>
      <c r="AF17" t="e">
        <f>AND(#REF!,"AAAAAG7VXx8=")</f>
        <v>#REF!</v>
      </c>
      <c r="AG17" t="e">
        <f>AND(#REF!,"AAAAAG7VXyA=")</f>
        <v>#REF!</v>
      </c>
      <c r="AH17" t="e">
        <f>AND(#REF!,"AAAAAG7VXyE=")</f>
        <v>#REF!</v>
      </c>
      <c r="AI17" t="e">
        <f>AND(#REF!,"AAAAAG7VXyI=")</f>
        <v>#REF!</v>
      </c>
      <c r="AJ17" t="e">
        <f>AND(#REF!,"AAAAAG7VXyM=")</f>
        <v>#REF!</v>
      </c>
      <c r="AK17" t="e">
        <f>AND(#REF!,"AAAAAG7VXyQ=")</f>
        <v>#REF!</v>
      </c>
      <c r="AL17" t="e">
        <f>IF(#REF!,"AAAAAG7VXyU=",0)</f>
        <v>#REF!</v>
      </c>
      <c r="AM17" t="e">
        <f>AND(#REF!,"AAAAAG7VXyY=")</f>
        <v>#REF!</v>
      </c>
      <c r="AN17" t="e">
        <f>AND(#REF!,"AAAAAG7VXyc=")</f>
        <v>#REF!</v>
      </c>
      <c r="AO17" t="e">
        <f>AND(#REF!,"AAAAAG7VXyg=")</f>
        <v>#REF!</v>
      </c>
      <c r="AP17" t="e">
        <f>AND(#REF!,"AAAAAG7VXyk=")</f>
        <v>#REF!</v>
      </c>
      <c r="AQ17" t="e">
        <f>AND(#REF!,"AAAAAG7VXyo=")</f>
        <v>#REF!</v>
      </c>
      <c r="AR17" t="e">
        <f>AND(#REF!,"AAAAAG7VXys=")</f>
        <v>#REF!</v>
      </c>
      <c r="AS17" t="e">
        <f>AND(#REF!,"AAAAAG7VXyw=")</f>
        <v>#REF!</v>
      </c>
      <c r="AT17" t="e">
        <f>AND(#REF!,"AAAAAG7VXy0=")</f>
        <v>#REF!</v>
      </c>
      <c r="AU17" t="e">
        <f>AND(#REF!,"AAAAAG7VXy4=")</f>
        <v>#REF!</v>
      </c>
      <c r="AV17" t="e">
        <f>IF(#REF!,"AAAAAG7VXy8=",0)</f>
        <v>#REF!</v>
      </c>
      <c r="AW17" t="e">
        <f>AND(#REF!,"AAAAAG7VXzA=")</f>
        <v>#REF!</v>
      </c>
      <c r="AX17" t="e">
        <f>AND(#REF!,"AAAAAG7VXzE=")</f>
        <v>#REF!</v>
      </c>
      <c r="AY17" t="e">
        <f>AND(#REF!,"AAAAAG7VXzI=")</f>
        <v>#REF!</v>
      </c>
      <c r="AZ17" t="e">
        <f>AND(#REF!,"AAAAAG7VXzM=")</f>
        <v>#REF!</v>
      </c>
      <c r="BA17" t="e">
        <f>AND(#REF!,"AAAAAG7VXzQ=")</f>
        <v>#REF!</v>
      </c>
      <c r="BB17" t="e">
        <f>AND(#REF!,"AAAAAG7VXzU=")</f>
        <v>#REF!</v>
      </c>
      <c r="BC17" t="e">
        <f>AND(#REF!,"AAAAAG7VXzY=")</f>
        <v>#REF!</v>
      </c>
      <c r="BD17" t="e">
        <f>AND(#REF!,"AAAAAG7VXzc=")</f>
        <v>#REF!</v>
      </c>
      <c r="BE17" t="e">
        <f>AND(#REF!,"AAAAAG7VXzg=")</f>
        <v>#REF!</v>
      </c>
      <c r="BF17" t="e">
        <f>IF(#REF!,"AAAAAG7VXzk=",0)</f>
        <v>#REF!</v>
      </c>
      <c r="BG17" t="e">
        <f>AND(#REF!,"AAAAAG7VXzo=")</f>
        <v>#REF!</v>
      </c>
      <c r="BH17" t="e">
        <f>AND(#REF!,"AAAAAG7VXzs=")</f>
        <v>#REF!</v>
      </c>
      <c r="BI17" t="e">
        <f>AND(#REF!,"AAAAAG7VXzw=")</f>
        <v>#REF!</v>
      </c>
      <c r="BJ17" t="e">
        <f>AND(#REF!,"AAAAAG7VXz0=")</f>
        <v>#REF!</v>
      </c>
      <c r="BK17" t="e">
        <f>AND(#REF!,"AAAAAG7VXz4=")</f>
        <v>#REF!</v>
      </c>
      <c r="BL17" t="e">
        <f>AND(#REF!,"AAAAAG7VXz8=")</f>
        <v>#REF!</v>
      </c>
      <c r="BM17" t="e">
        <f>AND(#REF!,"AAAAAG7VX0A=")</f>
        <v>#REF!</v>
      </c>
      <c r="BN17" t="e">
        <f>AND(#REF!,"AAAAAG7VX0E=")</f>
        <v>#REF!</v>
      </c>
      <c r="BO17" t="e">
        <f>AND(#REF!,"AAAAAG7VX0I=")</f>
        <v>#REF!</v>
      </c>
      <c r="BP17" t="e">
        <f>IF(#REF!,"AAAAAG7VX0M=",0)</f>
        <v>#REF!</v>
      </c>
      <c r="BQ17" t="e">
        <f>AND(#REF!,"AAAAAG7VX0Q=")</f>
        <v>#REF!</v>
      </c>
      <c r="BR17" t="e">
        <f>AND(#REF!,"AAAAAG7VX0U=")</f>
        <v>#REF!</v>
      </c>
      <c r="BS17" t="e">
        <f>AND(#REF!,"AAAAAG7VX0Y=")</f>
        <v>#REF!</v>
      </c>
      <c r="BT17" t="e">
        <f>AND(#REF!,"AAAAAG7VX0c=")</f>
        <v>#REF!</v>
      </c>
      <c r="BU17" t="e">
        <f>AND(#REF!,"AAAAAG7VX0g=")</f>
        <v>#REF!</v>
      </c>
      <c r="BV17" t="e">
        <f>AND(#REF!,"AAAAAG7VX0k=")</f>
        <v>#REF!</v>
      </c>
      <c r="BW17" t="e">
        <f>AND(#REF!,"AAAAAG7VX0o=")</f>
        <v>#REF!</v>
      </c>
      <c r="BX17" t="e">
        <f>AND(#REF!,"AAAAAG7VX0s=")</f>
        <v>#REF!</v>
      </c>
      <c r="BY17" t="e">
        <f>AND(#REF!,"AAAAAG7VX0w=")</f>
        <v>#REF!</v>
      </c>
      <c r="BZ17" t="e">
        <f>IF(#REF!,"AAAAAG7VX00=",0)</f>
        <v>#REF!</v>
      </c>
      <c r="CA17" t="e">
        <f>AND(#REF!,"AAAAAG7VX04=")</f>
        <v>#REF!</v>
      </c>
      <c r="CB17" t="e">
        <f>AND(#REF!,"AAAAAG7VX08=")</f>
        <v>#REF!</v>
      </c>
      <c r="CC17" t="e">
        <f>AND(#REF!,"AAAAAG7VX1A=")</f>
        <v>#REF!</v>
      </c>
      <c r="CD17" t="e">
        <f>AND(#REF!,"AAAAAG7VX1E=")</f>
        <v>#REF!</v>
      </c>
      <c r="CE17" t="e">
        <f>AND(#REF!,"AAAAAG7VX1I=")</f>
        <v>#REF!</v>
      </c>
      <c r="CF17" t="e">
        <f>AND(#REF!,"AAAAAG7VX1M=")</f>
        <v>#REF!</v>
      </c>
      <c r="CG17" t="e">
        <f>AND(#REF!,"AAAAAG7VX1Q=")</f>
        <v>#REF!</v>
      </c>
      <c r="CH17" t="e">
        <f>AND(#REF!,"AAAAAG7VX1U=")</f>
        <v>#REF!</v>
      </c>
      <c r="CI17" t="e">
        <f>AND(#REF!,"AAAAAG7VX1Y=")</f>
        <v>#REF!</v>
      </c>
      <c r="CJ17" t="e">
        <f>IF(#REF!,"AAAAAG7VX1c=",0)</f>
        <v>#REF!</v>
      </c>
      <c r="CK17" t="e">
        <f>AND(#REF!,"AAAAAG7VX1g=")</f>
        <v>#REF!</v>
      </c>
      <c r="CL17" t="e">
        <f>AND(#REF!,"AAAAAG7VX1k=")</f>
        <v>#REF!</v>
      </c>
      <c r="CM17" t="e">
        <f>AND(#REF!,"AAAAAG7VX1o=")</f>
        <v>#REF!</v>
      </c>
      <c r="CN17" t="e">
        <f>AND(#REF!,"AAAAAG7VX1s=")</f>
        <v>#REF!</v>
      </c>
      <c r="CO17" t="e">
        <f>AND(#REF!,"AAAAAG7VX1w=")</f>
        <v>#REF!</v>
      </c>
      <c r="CP17" t="e">
        <f>AND(#REF!,"AAAAAG7VX10=")</f>
        <v>#REF!</v>
      </c>
      <c r="CQ17" t="e">
        <f>AND(#REF!,"AAAAAG7VX14=")</f>
        <v>#REF!</v>
      </c>
      <c r="CR17" t="e">
        <f>AND(#REF!,"AAAAAG7VX18=")</f>
        <v>#REF!</v>
      </c>
      <c r="CS17" t="e">
        <f>AND(#REF!,"AAAAAG7VX2A=")</f>
        <v>#REF!</v>
      </c>
      <c r="CT17" t="e">
        <f>IF(#REF!,"AAAAAG7VX2E=",0)</f>
        <v>#REF!</v>
      </c>
      <c r="CU17" t="e">
        <f>AND(#REF!,"AAAAAG7VX2I=")</f>
        <v>#REF!</v>
      </c>
      <c r="CV17" t="e">
        <f>AND(#REF!,"AAAAAG7VX2M=")</f>
        <v>#REF!</v>
      </c>
      <c r="CW17" t="e">
        <f>AND(#REF!,"AAAAAG7VX2Q=")</f>
        <v>#REF!</v>
      </c>
      <c r="CX17" t="e">
        <f>AND(#REF!,"AAAAAG7VX2U=")</f>
        <v>#REF!</v>
      </c>
      <c r="CY17" t="e">
        <f>AND(#REF!,"AAAAAG7VX2Y=")</f>
        <v>#REF!</v>
      </c>
      <c r="CZ17" t="e">
        <f>AND(#REF!,"AAAAAG7VX2c=")</f>
        <v>#REF!</v>
      </c>
      <c r="DA17" t="e">
        <f>AND(#REF!,"AAAAAG7VX2g=")</f>
        <v>#REF!</v>
      </c>
      <c r="DB17" t="e">
        <f>AND(#REF!,"AAAAAG7VX2k=")</f>
        <v>#REF!</v>
      </c>
      <c r="DC17" t="e">
        <f>AND(#REF!,"AAAAAG7VX2o=")</f>
        <v>#REF!</v>
      </c>
      <c r="DD17" t="e">
        <f>IF(#REF!,"AAAAAG7VX2s=",0)</f>
        <v>#REF!</v>
      </c>
      <c r="DE17" t="e">
        <f>AND(#REF!,"AAAAAG7VX2w=")</f>
        <v>#REF!</v>
      </c>
      <c r="DF17" t="e">
        <f>AND(#REF!,"AAAAAG7VX20=")</f>
        <v>#REF!</v>
      </c>
      <c r="DG17" t="e">
        <f>AND(#REF!,"AAAAAG7VX24=")</f>
        <v>#REF!</v>
      </c>
      <c r="DH17" t="e">
        <f>AND(#REF!,"AAAAAG7VX28=")</f>
        <v>#REF!</v>
      </c>
      <c r="DI17" t="e">
        <f>AND(#REF!,"AAAAAG7VX3A=")</f>
        <v>#REF!</v>
      </c>
      <c r="DJ17" t="e">
        <f>AND(#REF!,"AAAAAG7VX3E=")</f>
        <v>#REF!</v>
      </c>
      <c r="DK17" t="e">
        <f>AND(#REF!,"AAAAAG7VX3I=")</f>
        <v>#REF!</v>
      </c>
      <c r="DL17" t="e">
        <f>AND(#REF!,"AAAAAG7VX3M=")</f>
        <v>#REF!</v>
      </c>
      <c r="DM17" t="e">
        <f>AND(#REF!,"AAAAAG7VX3Q=")</f>
        <v>#REF!</v>
      </c>
      <c r="DN17" t="e">
        <f>IF(#REF!,"AAAAAG7VX3U=",0)</f>
        <v>#REF!</v>
      </c>
      <c r="DO17" t="e">
        <f>AND(#REF!,"AAAAAG7VX3Y=")</f>
        <v>#REF!</v>
      </c>
      <c r="DP17" t="e">
        <f>AND(#REF!,"AAAAAG7VX3c=")</f>
        <v>#REF!</v>
      </c>
      <c r="DQ17" t="e">
        <f>AND(#REF!,"AAAAAG7VX3g=")</f>
        <v>#REF!</v>
      </c>
      <c r="DR17" t="e">
        <f>AND(#REF!,"AAAAAG7VX3k=")</f>
        <v>#REF!</v>
      </c>
      <c r="DS17" t="e">
        <f>AND(#REF!,"AAAAAG7VX3o=")</f>
        <v>#REF!</v>
      </c>
      <c r="DT17" t="e">
        <f>AND(#REF!,"AAAAAG7VX3s=")</f>
        <v>#REF!</v>
      </c>
      <c r="DU17" t="e">
        <f>AND(#REF!,"AAAAAG7VX3w=")</f>
        <v>#REF!</v>
      </c>
      <c r="DV17" t="e">
        <f>AND(#REF!,"AAAAAG7VX30=")</f>
        <v>#REF!</v>
      </c>
      <c r="DW17" t="e">
        <f>AND(#REF!,"AAAAAG7VX34=")</f>
        <v>#REF!</v>
      </c>
      <c r="DX17" t="e">
        <f>IF(#REF!,"AAAAAG7VX38=",0)</f>
        <v>#REF!</v>
      </c>
      <c r="DY17" t="e">
        <f>AND(#REF!,"AAAAAG7VX4A=")</f>
        <v>#REF!</v>
      </c>
      <c r="DZ17" t="e">
        <f>AND(#REF!,"AAAAAG7VX4E=")</f>
        <v>#REF!</v>
      </c>
      <c r="EA17" t="e">
        <f>AND(#REF!,"AAAAAG7VX4I=")</f>
        <v>#REF!</v>
      </c>
      <c r="EB17" t="e">
        <f>AND(#REF!,"AAAAAG7VX4M=")</f>
        <v>#REF!</v>
      </c>
      <c r="EC17" t="e">
        <f>AND(#REF!,"AAAAAG7VX4Q=")</f>
        <v>#REF!</v>
      </c>
      <c r="ED17" t="e">
        <f>AND(#REF!,"AAAAAG7VX4U=")</f>
        <v>#REF!</v>
      </c>
      <c r="EE17" t="e">
        <f>AND(#REF!,"AAAAAG7VX4Y=")</f>
        <v>#REF!</v>
      </c>
      <c r="EF17" t="e">
        <f>AND(#REF!,"AAAAAG7VX4c=")</f>
        <v>#REF!</v>
      </c>
      <c r="EG17" t="e">
        <f>AND(#REF!,"AAAAAG7VX4g=")</f>
        <v>#REF!</v>
      </c>
      <c r="EH17" t="e">
        <f>IF(#REF!,"AAAAAG7VX4k=",0)</f>
        <v>#REF!</v>
      </c>
      <c r="EI17" t="e">
        <f>AND(#REF!,"AAAAAG7VX4o=")</f>
        <v>#REF!</v>
      </c>
      <c r="EJ17" t="e">
        <f>AND(#REF!,"AAAAAG7VX4s=")</f>
        <v>#REF!</v>
      </c>
      <c r="EK17" t="e">
        <f>AND(#REF!,"AAAAAG7VX4w=")</f>
        <v>#REF!</v>
      </c>
      <c r="EL17" t="e">
        <f>AND(#REF!,"AAAAAG7VX40=")</f>
        <v>#REF!</v>
      </c>
      <c r="EM17" t="e">
        <f>AND(#REF!,"AAAAAG7VX44=")</f>
        <v>#REF!</v>
      </c>
      <c r="EN17" t="e">
        <f>AND(#REF!,"AAAAAG7VX48=")</f>
        <v>#REF!</v>
      </c>
      <c r="EO17" t="e">
        <f>AND(#REF!,"AAAAAG7VX5A=")</f>
        <v>#REF!</v>
      </c>
      <c r="EP17" t="e">
        <f>AND(#REF!,"AAAAAG7VX5E=")</f>
        <v>#REF!</v>
      </c>
      <c r="EQ17" t="e">
        <f>AND(#REF!,"AAAAAG7VX5I=")</f>
        <v>#REF!</v>
      </c>
      <c r="ER17" t="e">
        <f>IF(#REF!,"AAAAAG7VX5M=",0)</f>
        <v>#REF!</v>
      </c>
      <c r="ES17" t="e">
        <f>AND(#REF!,"AAAAAG7VX5Q=")</f>
        <v>#REF!</v>
      </c>
      <c r="ET17" t="e">
        <f>AND(#REF!,"AAAAAG7VX5U=")</f>
        <v>#REF!</v>
      </c>
      <c r="EU17" t="e">
        <f>AND(#REF!,"AAAAAG7VX5Y=")</f>
        <v>#REF!</v>
      </c>
      <c r="EV17" t="e">
        <f>AND(#REF!,"AAAAAG7VX5c=")</f>
        <v>#REF!</v>
      </c>
      <c r="EW17" t="e">
        <f>AND(#REF!,"AAAAAG7VX5g=")</f>
        <v>#REF!</v>
      </c>
      <c r="EX17" t="e">
        <f>AND(#REF!,"AAAAAG7VX5k=")</f>
        <v>#REF!</v>
      </c>
      <c r="EY17" t="e">
        <f>AND(#REF!,"AAAAAG7VX5o=")</f>
        <v>#REF!</v>
      </c>
      <c r="EZ17" t="e">
        <f>AND(#REF!,"AAAAAG7VX5s=")</f>
        <v>#REF!</v>
      </c>
      <c r="FA17" t="e">
        <f>AND(#REF!,"AAAAAG7VX5w=")</f>
        <v>#REF!</v>
      </c>
      <c r="FB17" t="e">
        <f>IF(#REF!,"AAAAAG7VX50=",0)</f>
        <v>#REF!</v>
      </c>
      <c r="FC17" t="e">
        <f>AND(#REF!,"AAAAAG7VX54=")</f>
        <v>#REF!</v>
      </c>
      <c r="FD17" t="e">
        <f>AND(#REF!,"AAAAAG7VX58=")</f>
        <v>#REF!</v>
      </c>
      <c r="FE17" t="e">
        <f>AND(#REF!,"AAAAAG7VX6A=")</f>
        <v>#REF!</v>
      </c>
      <c r="FF17" t="e">
        <f>AND(#REF!,"AAAAAG7VX6E=")</f>
        <v>#REF!</v>
      </c>
      <c r="FG17" t="e">
        <f>AND(#REF!,"AAAAAG7VX6I=")</f>
        <v>#REF!</v>
      </c>
      <c r="FH17" t="e">
        <f>AND(#REF!,"AAAAAG7VX6M=")</f>
        <v>#REF!</v>
      </c>
      <c r="FI17" t="e">
        <f>AND(#REF!,"AAAAAG7VX6Q=")</f>
        <v>#REF!</v>
      </c>
      <c r="FJ17" t="e">
        <f>AND(#REF!,"AAAAAG7VX6U=")</f>
        <v>#REF!</v>
      </c>
      <c r="FK17" t="e">
        <f>AND(#REF!,"AAAAAG7VX6Y=")</f>
        <v>#REF!</v>
      </c>
      <c r="FL17" t="e">
        <f>IF(#REF!,"AAAAAG7VX6c=",0)</f>
        <v>#REF!</v>
      </c>
      <c r="FM17" t="e">
        <f>AND(#REF!,"AAAAAG7VX6g=")</f>
        <v>#REF!</v>
      </c>
      <c r="FN17" t="e">
        <f>AND(#REF!,"AAAAAG7VX6k=")</f>
        <v>#REF!</v>
      </c>
      <c r="FO17" t="e">
        <f>AND(#REF!,"AAAAAG7VX6o=")</f>
        <v>#REF!</v>
      </c>
      <c r="FP17" t="e">
        <f>AND(#REF!,"AAAAAG7VX6s=")</f>
        <v>#REF!</v>
      </c>
      <c r="FQ17" t="e">
        <f>AND(#REF!,"AAAAAG7VX6w=")</f>
        <v>#REF!</v>
      </c>
      <c r="FR17" t="e">
        <f>AND(#REF!,"AAAAAG7VX60=")</f>
        <v>#REF!</v>
      </c>
      <c r="FS17" t="e">
        <f>AND(#REF!,"AAAAAG7VX64=")</f>
        <v>#REF!</v>
      </c>
      <c r="FT17" t="e">
        <f>AND(#REF!,"AAAAAG7VX68=")</f>
        <v>#REF!</v>
      </c>
      <c r="FU17" t="e">
        <f>AND(#REF!,"AAAAAG7VX7A=")</f>
        <v>#REF!</v>
      </c>
      <c r="FV17" t="e">
        <f>IF(#REF!,"AAAAAG7VX7E=",0)</f>
        <v>#REF!</v>
      </c>
      <c r="FW17" t="e">
        <f>AND(#REF!,"AAAAAG7VX7I=")</f>
        <v>#REF!</v>
      </c>
      <c r="FX17" t="e">
        <f>AND(#REF!,"AAAAAG7VX7M=")</f>
        <v>#REF!</v>
      </c>
      <c r="FY17" t="e">
        <f>AND(#REF!,"AAAAAG7VX7Q=")</f>
        <v>#REF!</v>
      </c>
      <c r="FZ17" t="e">
        <f>AND(#REF!,"AAAAAG7VX7U=")</f>
        <v>#REF!</v>
      </c>
      <c r="GA17" t="e">
        <f>AND(#REF!,"AAAAAG7VX7Y=")</f>
        <v>#REF!</v>
      </c>
      <c r="GB17" t="e">
        <f>AND(#REF!,"AAAAAG7VX7c=")</f>
        <v>#REF!</v>
      </c>
      <c r="GC17" t="e">
        <f>AND(#REF!,"AAAAAG7VX7g=")</f>
        <v>#REF!</v>
      </c>
      <c r="GD17" t="e">
        <f>AND(#REF!,"AAAAAG7VX7k=")</f>
        <v>#REF!</v>
      </c>
      <c r="GE17" t="e">
        <f>AND(#REF!,"AAAAAG7VX7o=")</f>
        <v>#REF!</v>
      </c>
      <c r="GF17" t="e">
        <f>IF(#REF!,"AAAAAG7VX7s=",0)</f>
        <v>#REF!</v>
      </c>
      <c r="GG17" t="e">
        <f>AND(#REF!,"AAAAAG7VX7w=")</f>
        <v>#REF!</v>
      </c>
      <c r="GH17" t="e">
        <f>AND(#REF!,"AAAAAG7VX70=")</f>
        <v>#REF!</v>
      </c>
      <c r="GI17" t="e">
        <f>AND(#REF!,"AAAAAG7VX74=")</f>
        <v>#REF!</v>
      </c>
      <c r="GJ17" t="e">
        <f>AND(#REF!,"AAAAAG7VX78=")</f>
        <v>#REF!</v>
      </c>
      <c r="GK17" t="e">
        <f>AND(#REF!,"AAAAAG7VX8A=")</f>
        <v>#REF!</v>
      </c>
      <c r="GL17" t="e">
        <f>AND(#REF!,"AAAAAG7VX8E=")</f>
        <v>#REF!</v>
      </c>
      <c r="GM17" t="e">
        <f>AND(#REF!,"AAAAAG7VX8I=")</f>
        <v>#REF!</v>
      </c>
      <c r="GN17" t="e">
        <f>AND(#REF!,"AAAAAG7VX8M=")</f>
        <v>#REF!</v>
      </c>
      <c r="GO17" t="e">
        <f>AND(#REF!,"AAAAAG7VX8Q=")</f>
        <v>#REF!</v>
      </c>
      <c r="GP17" t="e">
        <f>IF(#REF!,"AAAAAG7VX8U=",0)</f>
        <v>#REF!</v>
      </c>
      <c r="GQ17" t="e">
        <f>AND(#REF!,"AAAAAG7VX8Y=")</f>
        <v>#REF!</v>
      </c>
      <c r="GR17" t="e">
        <f>AND(#REF!,"AAAAAG7VX8c=")</f>
        <v>#REF!</v>
      </c>
      <c r="GS17" t="e">
        <f>AND(#REF!,"AAAAAG7VX8g=")</f>
        <v>#REF!</v>
      </c>
      <c r="GT17" t="e">
        <f>AND(#REF!,"AAAAAG7VX8k=")</f>
        <v>#REF!</v>
      </c>
      <c r="GU17" t="e">
        <f>AND(#REF!,"AAAAAG7VX8o=")</f>
        <v>#REF!</v>
      </c>
      <c r="GV17" t="e">
        <f>AND(#REF!,"AAAAAG7VX8s=")</f>
        <v>#REF!</v>
      </c>
      <c r="GW17" t="e">
        <f>AND(#REF!,"AAAAAG7VX8w=")</f>
        <v>#REF!</v>
      </c>
      <c r="GX17" t="e">
        <f>AND(#REF!,"AAAAAG7VX80=")</f>
        <v>#REF!</v>
      </c>
      <c r="GY17" t="e">
        <f>AND(#REF!,"AAAAAG7VX84=")</f>
        <v>#REF!</v>
      </c>
      <c r="GZ17" t="e">
        <f>IF(#REF!,"AAAAAG7VX88=",0)</f>
        <v>#REF!</v>
      </c>
      <c r="HA17" t="e">
        <f>AND(#REF!,"AAAAAG7VX9A=")</f>
        <v>#REF!</v>
      </c>
      <c r="HB17" t="e">
        <f>AND(#REF!,"AAAAAG7VX9E=")</f>
        <v>#REF!</v>
      </c>
      <c r="HC17" t="e">
        <f>AND(#REF!,"AAAAAG7VX9I=")</f>
        <v>#REF!</v>
      </c>
      <c r="HD17" t="e">
        <f>AND(#REF!,"AAAAAG7VX9M=")</f>
        <v>#REF!</v>
      </c>
      <c r="HE17" t="e">
        <f>AND(#REF!,"AAAAAG7VX9Q=")</f>
        <v>#REF!</v>
      </c>
      <c r="HF17" t="e">
        <f>AND(#REF!,"AAAAAG7VX9U=")</f>
        <v>#REF!</v>
      </c>
      <c r="HG17" t="e">
        <f>AND(#REF!,"AAAAAG7VX9Y=")</f>
        <v>#REF!</v>
      </c>
      <c r="HH17" t="e">
        <f>AND(#REF!,"AAAAAG7VX9c=")</f>
        <v>#REF!</v>
      </c>
      <c r="HI17" t="e">
        <f>AND(#REF!,"AAAAAG7VX9g=")</f>
        <v>#REF!</v>
      </c>
      <c r="HJ17" t="e">
        <f>IF(#REF!,"AAAAAG7VX9k=",0)</f>
        <v>#REF!</v>
      </c>
      <c r="HK17" t="e">
        <f>IF(#REF!,"AAAAAG7VX9o=",0)</f>
        <v>#REF!</v>
      </c>
      <c r="HL17" t="e">
        <f>IF(#REF!,"AAAAAG7VX9s=",0)</f>
        <v>#REF!</v>
      </c>
      <c r="HM17" t="e">
        <f>IF(#REF!,"AAAAAG7VX9w=",0)</f>
        <v>#REF!</v>
      </c>
      <c r="HN17" t="e">
        <f>IF(#REF!,"AAAAAG7VX90=",0)</f>
        <v>#REF!</v>
      </c>
      <c r="HO17" t="e">
        <f>IF(#REF!,"AAAAAG7VX94=",0)</f>
        <v>#REF!</v>
      </c>
      <c r="HP17" t="e">
        <f>IF(#REF!,"AAAAAG7VX98=",0)</f>
        <v>#REF!</v>
      </c>
      <c r="HQ17" t="e">
        <f>IF(#REF!,"AAAAAG7VX+A=",0)</f>
        <v>#REF!</v>
      </c>
      <c r="HR17" t="e">
        <f>IF(#REF!,"AAAAAG7VX+E=",0)</f>
        <v>#REF!</v>
      </c>
      <c r="HS17" t="e">
        <f>IF(#REF!,"AAAAAG7VX+I=",0)</f>
        <v>#REF!</v>
      </c>
      <c r="HT17" t="e">
        <f>IF(#REF!,"AAAAAG7VX+M=",0)</f>
        <v>#REF!</v>
      </c>
      <c r="HU17" t="e">
        <f>IF(#REF!,"AAAAAG7VX+Q=",0)</f>
        <v>#REF!</v>
      </c>
      <c r="HV17" t="e">
        <f>IF(#REF!,"AAAAAG7VX+U=",0)</f>
        <v>#REF!</v>
      </c>
      <c r="HW17" t="e">
        <f>IF(#REF!,"AAAAAG7VX+Y=",0)</f>
        <v>#REF!</v>
      </c>
      <c r="HX17" t="e">
        <f>AND(#REF!,"AAAAAG7VX+c=")</f>
        <v>#REF!</v>
      </c>
      <c r="HY17" t="e">
        <f>AND(#REF!,"AAAAAG7VX+g=")</f>
        <v>#REF!</v>
      </c>
      <c r="HZ17" t="e">
        <f>AND(#REF!,"AAAAAG7VX+k=")</f>
        <v>#REF!</v>
      </c>
      <c r="IA17" t="e">
        <f>AND(#REF!,"AAAAAG7VX+o=")</f>
        <v>#REF!</v>
      </c>
      <c r="IB17" t="e">
        <f>AND(#REF!,"AAAAAG7VX+s=")</f>
        <v>#REF!</v>
      </c>
      <c r="IC17" t="e">
        <f>AND(#REF!,"AAAAAG7VX+w=")</f>
        <v>#REF!</v>
      </c>
      <c r="ID17" t="e">
        <f>AND(#REF!,"AAAAAG7VX+0=")</f>
        <v>#REF!</v>
      </c>
      <c r="IE17" t="e">
        <f>AND(#REF!,"AAAAAG7VX+4=")</f>
        <v>#REF!</v>
      </c>
      <c r="IF17" t="e">
        <f>AND(#REF!,"AAAAAG7VX+8=")</f>
        <v>#REF!</v>
      </c>
      <c r="IG17" t="e">
        <f>IF(#REF!,"AAAAAG7VX/A=",0)</f>
        <v>#REF!</v>
      </c>
      <c r="IH17" t="e">
        <f>AND(#REF!,"AAAAAG7VX/E=")</f>
        <v>#REF!</v>
      </c>
      <c r="II17" t="e">
        <f>AND(#REF!,"AAAAAG7VX/I=")</f>
        <v>#REF!</v>
      </c>
      <c r="IJ17" t="e">
        <f>AND(#REF!,"AAAAAG7VX/M=")</f>
        <v>#REF!</v>
      </c>
      <c r="IK17" t="e">
        <f>AND(#REF!,"AAAAAG7VX/Q=")</f>
        <v>#REF!</v>
      </c>
      <c r="IL17" t="e">
        <f>AND(#REF!,"AAAAAG7VX/U=")</f>
        <v>#REF!</v>
      </c>
      <c r="IM17" t="e">
        <f>AND(#REF!,"AAAAAG7VX/Y=")</f>
        <v>#REF!</v>
      </c>
      <c r="IN17" t="e">
        <f>AND(#REF!,"AAAAAG7VX/c=")</f>
        <v>#REF!</v>
      </c>
      <c r="IO17" t="e">
        <f>AND(#REF!,"AAAAAG7VX/g=")</f>
        <v>#REF!</v>
      </c>
      <c r="IP17" t="e">
        <f>AND(#REF!,"AAAAAG7VX/k=")</f>
        <v>#REF!</v>
      </c>
      <c r="IQ17" t="e">
        <f>IF(#REF!,"AAAAAG7VX/o=",0)</f>
        <v>#REF!</v>
      </c>
      <c r="IR17" t="e">
        <f>AND(#REF!,"AAAAAG7VX/s=")</f>
        <v>#REF!</v>
      </c>
      <c r="IS17" t="e">
        <f>AND(#REF!,"AAAAAG7VX/w=")</f>
        <v>#REF!</v>
      </c>
      <c r="IT17" t="e">
        <f>AND(#REF!,"AAAAAG7VX/0=")</f>
        <v>#REF!</v>
      </c>
      <c r="IU17" t="e">
        <f>AND(#REF!,"AAAAAG7VX/4=")</f>
        <v>#REF!</v>
      </c>
      <c r="IV17" t="e">
        <f>AND(#REF!,"AAAAAG7VX/8=")</f>
        <v>#REF!</v>
      </c>
    </row>
    <row r="18" spans="1:256" ht="12.75">
      <c r="A18" t="e">
        <f>AND(#REF!,"AAAAAH1v5QA=")</f>
        <v>#REF!</v>
      </c>
      <c r="B18" t="e">
        <f>AND(#REF!,"AAAAAH1v5QE=")</f>
        <v>#REF!</v>
      </c>
      <c r="C18" t="e">
        <f>AND(#REF!,"AAAAAH1v5QI=")</f>
        <v>#REF!</v>
      </c>
      <c r="D18" t="e">
        <f>AND(#REF!,"AAAAAH1v5QM=")</f>
        <v>#REF!</v>
      </c>
      <c r="E18" t="e">
        <f>IF(#REF!,"AAAAAH1v5QQ=",0)</f>
        <v>#REF!</v>
      </c>
      <c r="F18" t="e">
        <f>AND(#REF!,"AAAAAH1v5QU=")</f>
        <v>#REF!</v>
      </c>
      <c r="G18" t="e">
        <f>AND(#REF!,"AAAAAH1v5QY=")</f>
        <v>#REF!</v>
      </c>
      <c r="H18" t="e">
        <f>AND(#REF!,"AAAAAH1v5Qc=")</f>
        <v>#REF!</v>
      </c>
      <c r="I18" t="e">
        <f>AND(#REF!,"AAAAAH1v5Qg=")</f>
        <v>#REF!</v>
      </c>
      <c r="J18" t="e">
        <f>AND(#REF!,"AAAAAH1v5Qk=")</f>
        <v>#REF!</v>
      </c>
      <c r="K18" t="e">
        <f>AND(#REF!,"AAAAAH1v5Qo=")</f>
        <v>#REF!</v>
      </c>
      <c r="L18" t="e">
        <f>AND(#REF!,"AAAAAH1v5Qs=")</f>
        <v>#REF!</v>
      </c>
      <c r="M18" t="e">
        <f>AND(#REF!,"AAAAAH1v5Qw=")</f>
        <v>#REF!</v>
      </c>
      <c r="N18" t="e">
        <f>AND(#REF!,"AAAAAH1v5Q0=")</f>
        <v>#REF!</v>
      </c>
      <c r="O18" t="e">
        <f>IF(#REF!,"AAAAAH1v5Q4=",0)</f>
        <v>#REF!</v>
      </c>
      <c r="P18" t="e">
        <f>AND(#REF!,"AAAAAH1v5Q8=")</f>
        <v>#REF!</v>
      </c>
      <c r="Q18" t="e">
        <f>AND(#REF!,"AAAAAH1v5RA=")</f>
        <v>#REF!</v>
      </c>
      <c r="R18" t="e">
        <f>AND(#REF!,"AAAAAH1v5RE=")</f>
        <v>#REF!</v>
      </c>
      <c r="S18" t="e">
        <f>AND(#REF!,"AAAAAH1v5RI=")</f>
        <v>#REF!</v>
      </c>
      <c r="T18" t="e">
        <f>AND(#REF!,"AAAAAH1v5RM=")</f>
        <v>#REF!</v>
      </c>
      <c r="U18" t="e">
        <f>AND(#REF!,"AAAAAH1v5RQ=")</f>
        <v>#REF!</v>
      </c>
      <c r="V18" t="e">
        <f>AND(#REF!,"AAAAAH1v5RU=")</f>
        <v>#REF!</v>
      </c>
      <c r="W18" t="e">
        <f>AND(#REF!,"AAAAAH1v5RY=")</f>
        <v>#REF!</v>
      </c>
      <c r="X18" t="e">
        <f>AND(#REF!,"AAAAAH1v5Rc=")</f>
        <v>#REF!</v>
      </c>
      <c r="Y18" t="e">
        <f>IF(#REF!,"AAAAAH1v5Rg=",0)</f>
        <v>#REF!</v>
      </c>
      <c r="Z18" t="e">
        <f>AND(#REF!,"AAAAAH1v5Rk=")</f>
        <v>#REF!</v>
      </c>
      <c r="AA18" t="e">
        <f>AND(#REF!,"AAAAAH1v5Ro=")</f>
        <v>#REF!</v>
      </c>
      <c r="AB18" t="e">
        <f>AND(#REF!,"AAAAAH1v5Rs=")</f>
        <v>#REF!</v>
      </c>
      <c r="AC18" t="e">
        <f>AND(#REF!,"AAAAAH1v5Rw=")</f>
        <v>#REF!</v>
      </c>
      <c r="AD18" t="e">
        <f>AND(#REF!,"AAAAAH1v5R0=")</f>
        <v>#REF!</v>
      </c>
      <c r="AE18" t="e">
        <f>AND(#REF!,"AAAAAH1v5R4=")</f>
        <v>#REF!</v>
      </c>
      <c r="AF18" t="e">
        <f>AND(#REF!,"AAAAAH1v5R8=")</f>
        <v>#REF!</v>
      </c>
      <c r="AG18" t="e">
        <f>AND(#REF!,"AAAAAH1v5SA=")</f>
        <v>#REF!</v>
      </c>
      <c r="AH18" t="e">
        <f>AND(#REF!,"AAAAAH1v5SE=")</f>
        <v>#REF!</v>
      </c>
      <c r="AI18" t="e">
        <f>IF(#REF!,"AAAAAH1v5SI=",0)</f>
        <v>#REF!</v>
      </c>
      <c r="AJ18" t="e">
        <f>AND(#REF!,"AAAAAH1v5SM=")</f>
        <v>#REF!</v>
      </c>
      <c r="AK18" t="e">
        <f>AND(#REF!,"AAAAAH1v5SQ=")</f>
        <v>#REF!</v>
      </c>
      <c r="AL18" t="e">
        <f>AND(#REF!,"AAAAAH1v5SU=")</f>
        <v>#REF!</v>
      </c>
      <c r="AM18" t="e">
        <f>AND(#REF!,"AAAAAH1v5SY=")</f>
        <v>#REF!</v>
      </c>
      <c r="AN18" t="e">
        <f>AND(#REF!,"AAAAAH1v5Sc=")</f>
        <v>#REF!</v>
      </c>
      <c r="AO18" t="e">
        <f>AND(#REF!,"AAAAAH1v5Sg=")</f>
        <v>#REF!</v>
      </c>
      <c r="AP18" t="e">
        <f>AND(#REF!,"AAAAAH1v5Sk=")</f>
        <v>#REF!</v>
      </c>
      <c r="AQ18" t="e">
        <f>AND(#REF!,"AAAAAH1v5So=")</f>
        <v>#REF!</v>
      </c>
      <c r="AR18" t="e">
        <f>AND(#REF!,"AAAAAH1v5Ss=")</f>
        <v>#REF!</v>
      </c>
      <c r="AS18" t="e">
        <f>IF(#REF!,"AAAAAH1v5Sw=",0)</f>
        <v>#REF!</v>
      </c>
      <c r="AT18" t="e">
        <f>AND(#REF!,"AAAAAH1v5S0=")</f>
        <v>#REF!</v>
      </c>
      <c r="AU18" t="e">
        <f>AND(#REF!,"AAAAAH1v5S4=")</f>
        <v>#REF!</v>
      </c>
      <c r="AV18" t="e">
        <f>AND(#REF!,"AAAAAH1v5S8=")</f>
        <v>#REF!</v>
      </c>
      <c r="AW18" t="e">
        <f>AND(#REF!,"AAAAAH1v5TA=")</f>
        <v>#REF!</v>
      </c>
      <c r="AX18" t="e">
        <f>AND(#REF!,"AAAAAH1v5TE=")</f>
        <v>#REF!</v>
      </c>
      <c r="AY18" t="e">
        <f>AND(#REF!,"AAAAAH1v5TI=")</f>
        <v>#REF!</v>
      </c>
      <c r="AZ18" t="e">
        <f>AND(#REF!,"AAAAAH1v5TM=")</f>
        <v>#REF!</v>
      </c>
      <c r="BA18" t="e">
        <f>AND(#REF!,"AAAAAH1v5TQ=")</f>
        <v>#REF!</v>
      </c>
      <c r="BB18" t="e">
        <f>AND(#REF!,"AAAAAH1v5TU=")</f>
        <v>#REF!</v>
      </c>
      <c r="BC18" t="e">
        <f>IF(#REF!,"AAAAAH1v5TY=",0)</f>
        <v>#REF!</v>
      </c>
      <c r="BD18" t="e">
        <f>AND(#REF!,"AAAAAH1v5Tc=")</f>
        <v>#REF!</v>
      </c>
      <c r="BE18" t="e">
        <f>AND(#REF!,"AAAAAH1v5Tg=")</f>
        <v>#REF!</v>
      </c>
      <c r="BF18" t="e">
        <f>AND(#REF!,"AAAAAH1v5Tk=")</f>
        <v>#REF!</v>
      </c>
      <c r="BG18" t="e">
        <f>AND(#REF!,"AAAAAH1v5To=")</f>
        <v>#REF!</v>
      </c>
      <c r="BH18" t="e">
        <f>AND(#REF!,"AAAAAH1v5Ts=")</f>
        <v>#REF!</v>
      </c>
      <c r="BI18" t="e">
        <f>AND(#REF!,"AAAAAH1v5Tw=")</f>
        <v>#REF!</v>
      </c>
      <c r="BJ18" t="e">
        <f>AND(#REF!,"AAAAAH1v5T0=")</f>
        <v>#REF!</v>
      </c>
      <c r="BK18" t="e">
        <f>AND(#REF!,"AAAAAH1v5T4=")</f>
        <v>#REF!</v>
      </c>
      <c r="BL18" t="e">
        <f>AND(#REF!,"AAAAAH1v5T8=")</f>
        <v>#REF!</v>
      </c>
      <c r="BM18" t="e">
        <f>IF(#REF!,"AAAAAH1v5UA=",0)</f>
        <v>#REF!</v>
      </c>
      <c r="BN18" t="e">
        <f>AND(#REF!,"AAAAAH1v5UE=")</f>
        <v>#REF!</v>
      </c>
      <c r="BO18" t="e">
        <f>AND(#REF!,"AAAAAH1v5UI=")</f>
        <v>#REF!</v>
      </c>
      <c r="BP18" t="e">
        <f>AND(#REF!,"AAAAAH1v5UM=")</f>
        <v>#REF!</v>
      </c>
      <c r="BQ18" t="e">
        <f>AND(#REF!,"AAAAAH1v5UQ=")</f>
        <v>#REF!</v>
      </c>
      <c r="BR18" t="e">
        <f>AND(#REF!,"AAAAAH1v5UU=")</f>
        <v>#REF!</v>
      </c>
      <c r="BS18" t="e">
        <f>AND(#REF!,"AAAAAH1v5UY=")</f>
        <v>#REF!</v>
      </c>
      <c r="BT18" t="e">
        <f>AND(#REF!,"AAAAAH1v5Uc=")</f>
        <v>#REF!</v>
      </c>
      <c r="BU18" t="e">
        <f>AND(#REF!,"AAAAAH1v5Ug=")</f>
        <v>#REF!</v>
      </c>
      <c r="BV18" t="e">
        <f>AND(#REF!,"AAAAAH1v5Uk=")</f>
        <v>#REF!</v>
      </c>
      <c r="BW18" t="e">
        <f>IF(#REF!,"AAAAAH1v5Uo=",0)</f>
        <v>#REF!</v>
      </c>
      <c r="BX18" t="e">
        <f>AND(#REF!,"AAAAAH1v5Us=")</f>
        <v>#REF!</v>
      </c>
      <c r="BY18" t="e">
        <f>AND(#REF!,"AAAAAH1v5Uw=")</f>
        <v>#REF!</v>
      </c>
      <c r="BZ18" t="e">
        <f>AND(#REF!,"AAAAAH1v5U0=")</f>
        <v>#REF!</v>
      </c>
      <c r="CA18" t="e">
        <f>AND(#REF!,"AAAAAH1v5U4=")</f>
        <v>#REF!</v>
      </c>
      <c r="CB18" t="e">
        <f>AND(#REF!,"AAAAAH1v5U8=")</f>
        <v>#REF!</v>
      </c>
      <c r="CC18" t="e">
        <f>AND(#REF!,"AAAAAH1v5VA=")</f>
        <v>#REF!</v>
      </c>
      <c r="CD18" t="e">
        <f>AND(#REF!,"AAAAAH1v5VE=")</f>
        <v>#REF!</v>
      </c>
      <c r="CE18" t="e">
        <f>AND(#REF!,"AAAAAH1v5VI=")</f>
        <v>#REF!</v>
      </c>
      <c r="CF18" t="e">
        <f>AND(#REF!,"AAAAAH1v5VM=")</f>
        <v>#REF!</v>
      </c>
      <c r="CG18" t="e">
        <f>IF(#REF!,"AAAAAH1v5VQ=",0)</f>
        <v>#REF!</v>
      </c>
      <c r="CH18" t="e">
        <f>AND(#REF!,"AAAAAH1v5VU=")</f>
        <v>#REF!</v>
      </c>
      <c r="CI18" t="e">
        <f>AND(#REF!,"AAAAAH1v5VY=")</f>
        <v>#REF!</v>
      </c>
      <c r="CJ18" t="e">
        <f>AND(#REF!,"AAAAAH1v5Vc=")</f>
        <v>#REF!</v>
      </c>
      <c r="CK18" t="e">
        <f>AND(#REF!,"AAAAAH1v5Vg=")</f>
        <v>#REF!</v>
      </c>
      <c r="CL18" t="e">
        <f>AND(#REF!,"AAAAAH1v5Vk=")</f>
        <v>#REF!</v>
      </c>
      <c r="CM18" t="e">
        <f>AND(#REF!,"AAAAAH1v5Vo=")</f>
        <v>#REF!</v>
      </c>
      <c r="CN18" t="e">
        <f>AND(#REF!,"AAAAAH1v5Vs=")</f>
        <v>#REF!</v>
      </c>
      <c r="CO18" t="e">
        <f>AND(#REF!,"AAAAAH1v5Vw=")</f>
        <v>#REF!</v>
      </c>
      <c r="CP18" t="e">
        <f>AND(#REF!,"AAAAAH1v5V0=")</f>
        <v>#REF!</v>
      </c>
      <c r="CQ18" t="e">
        <f>IF(#REF!,"AAAAAH1v5V4=",0)</f>
        <v>#REF!</v>
      </c>
      <c r="CR18" t="e">
        <f>AND(#REF!,"AAAAAH1v5V8=")</f>
        <v>#REF!</v>
      </c>
      <c r="CS18" t="e">
        <f>AND(#REF!,"AAAAAH1v5WA=")</f>
        <v>#REF!</v>
      </c>
      <c r="CT18" t="e">
        <f>AND(#REF!,"AAAAAH1v5WE=")</f>
        <v>#REF!</v>
      </c>
      <c r="CU18" t="e">
        <f>AND(#REF!,"AAAAAH1v5WI=")</f>
        <v>#REF!</v>
      </c>
      <c r="CV18" t="e">
        <f>AND(#REF!,"AAAAAH1v5WM=")</f>
        <v>#REF!</v>
      </c>
      <c r="CW18" t="e">
        <f>AND(#REF!,"AAAAAH1v5WQ=")</f>
        <v>#REF!</v>
      </c>
      <c r="CX18" t="e">
        <f>AND(#REF!,"AAAAAH1v5WU=")</f>
        <v>#REF!</v>
      </c>
      <c r="CY18" t="e">
        <f>AND(#REF!,"AAAAAH1v5WY=")</f>
        <v>#REF!</v>
      </c>
      <c r="CZ18" t="e">
        <f>AND(#REF!,"AAAAAH1v5Wc=")</f>
        <v>#REF!</v>
      </c>
      <c r="DA18" t="e">
        <f>IF(#REF!,"AAAAAH1v5Wg=",0)</f>
        <v>#REF!</v>
      </c>
      <c r="DB18" t="e">
        <f>AND(#REF!,"AAAAAH1v5Wk=")</f>
        <v>#REF!</v>
      </c>
      <c r="DC18" t="e">
        <f>AND(#REF!,"AAAAAH1v5Wo=")</f>
        <v>#REF!</v>
      </c>
      <c r="DD18" t="e">
        <f>AND(#REF!,"AAAAAH1v5Ws=")</f>
        <v>#REF!</v>
      </c>
      <c r="DE18" t="e">
        <f>AND(#REF!,"AAAAAH1v5Ww=")</f>
        <v>#REF!</v>
      </c>
      <c r="DF18" t="e">
        <f>AND(#REF!,"AAAAAH1v5W0=")</f>
        <v>#REF!</v>
      </c>
      <c r="DG18" t="e">
        <f>AND(#REF!,"AAAAAH1v5W4=")</f>
        <v>#REF!</v>
      </c>
      <c r="DH18" t="e">
        <f>AND(#REF!,"AAAAAH1v5W8=")</f>
        <v>#REF!</v>
      </c>
      <c r="DI18" t="e">
        <f>AND(#REF!,"AAAAAH1v5XA=")</f>
        <v>#REF!</v>
      </c>
      <c r="DJ18" t="e">
        <f>AND(#REF!,"AAAAAH1v5XE=")</f>
        <v>#REF!</v>
      </c>
      <c r="DK18" t="e">
        <f>IF(#REF!,"AAAAAH1v5XI=",0)</f>
        <v>#REF!</v>
      </c>
      <c r="DL18" t="e">
        <f>AND(#REF!,"AAAAAH1v5XM=")</f>
        <v>#REF!</v>
      </c>
      <c r="DM18" t="e">
        <f>AND(#REF!,"AAAAAH1v5XQ=")</f>
        <v>#REF!</v>
      </c>
      <c r="DN18" t="e">
        <f>AND(#REF!,"AAAAAH1v5XU=")</f>
        <v>#REF!</v>
      </c>
      <c r="DO18" t="e">
        <f>AND(#REF!,"AAAAAH1v5XY=")</f>
        <v>#REF!</v>
      </c>
      <c r="DP18" t="e">
        <f>AND(#REF!,"AAAAAH1v5Xc=")</f>
        <v>#REF!</v>
      </c>
      <c r="DQ18" t="e">
        <f>AND(#REF!,"AAAAAH1v5Xg=")</f>
        <v>#REF!</v>
      </c>
      <c r="DR18" t="e">
        <f>AND(#REF!,"AAAAAH1v5Xk=")</f>
        <v>#REF!</v>
      </c>
      <c r="DS18" t="e">
        <f>AND(#REF!,"AAAAAH1v5Xo=")</f>
        <v>#REF!</v>
      </c>
      <c r="DT18" t="e">
        <f>AND(#REF!,"AAAAAH1v5Xs=")</f>
        <v>#REF!</v>
      </c>
      <c r="DU18" t="e">
        <f>IF(#REF!,"AAAAAH1v5Xw=",0)</f>
        <v>#REF!</v>
      </c>
      <c r="DV18" t="e">
        <f>AND(#REF!,"AAAAAH1v5X0=")</f>
        <v>#REF!</v>
      </c>
      <c r="DW18" t="e">
        <f>AND(#REF!,"AAAAAH1v5X4=")</f>
        <v>#REF!</v>
      </c>
      <c r="DX18" t="e">
        <f>AND(#REF!,"AAAAAH1v5X8=")</f>
        <v>#REF!</v>
      </c>
      <c r="DY18" t="e">
        <f>AND(#REF!,"AAAAAH1v5YA=")</f>
        <v>#REF!</v>
      </c>
      <c r="DZ18" t="e">
        <f>AND(#REF!,"AAAAAH1v5YE=")</f>
        <v>#REF!</v>
      </c>
      <c r="EA18" t="e">
        <f>AND(#REF!,"AAAAAH1v5YI=")</f>
        <v>#REF!</v>
      </c>
      <c r="EB18" t="e">
        <f>AND(#REF!,"AAAAAH1v5YM=")</f>
        <v>#REF!</v>
      </c>
      <c r="EC18" t="e">
        <f>AND(#REF!,"AAAAAH1v5YQ=")</f>
        <v>#REF!</v>
      </c>
      <c r="ED18" t="e">
        <f>AND(#REF!,"AAAAAH1v5YU=")</f>
        <v>#REF!</v>
      </c>
      <c r="EE18" t="e">
        <f>IF(#REF!,"AAAAAH1v5YY=",0)</f>
        <v>#REF!</v>
      </c>
      <c r="EF18" t="e">
        <f>AND(#REF!,"AAAAAH1v5Yc=")</f>
        <v>#REF!</v>
      </c>
      <c r="EG18" t="e">
        <f>AND(#REF!,"AAAAAH1v5Yg=")</f>
        <v>#REF!</v>
      </c>
      <c r="EH18" t="e">
        <f>AND(#REF!,"AAAAAH1v5Yk=")</f>
        <v>#REF!</v>
      </c>
      <c r="EI18" t="e">
        <f>AND(#REF!,"AAAAAH1v5Yo=")</f>
        <v>#REF!</v>
      </c>
      <c r="EJ18" t="e">
        <f>AND(#REF!,"AAAAAH1v5Ys=")</f>
        <v>#REF!</v>
      </c>
      <c r="EK18" t="e">
        <f>AND(#REF!,"AAAAAH1v5Yw=")</f>
        <v>#REF!</v>
      </c>
      <c r="EL18" t="e">
        <f>AND(#REF!,"AAAAAH1v5Y0=")</f>
        <v>#REF!</v>
      </c>
      <c r="EM18" t="e">
        <f>AND(#REF!,"AAAAAH1v5Y4=")</f>
        <v>#REF!</v>
      </c>
      <c r="EN18" t="e">
        <f>AND(#REF!,"AAAAAH1v5Y8=")</f>
        <v>#REF!</v>
      </c>
      <c r="EO18" t="e">
        <f>IF(#REF!,"AAAAAH1v5ZA=",0)</f>
        <v>#REF!</v>
      </c>
      <c r="EP18" t="e">
        <f>AND(#REF!,"AAAAAH1v5ZE=")</f>
        <v>#REF!</v>
      </c>
      <c r="EQ18" t="e">
        <f>AND(#REF!,"AAAAAH1v5ZI=")</f>
        <v>#REF!</v>
      </c>
      <c r="ER18" t="e">
        <f>AND(#REF!,"AAAAAH1v5ZM=")</f>
        <v>#REF!</v>
      </c>
      <c r="ES18" t="e">
        <f>AND(#REF!,"AAAAAH1v5ZQ=")</f>
        <v>#REF!</v>
      </c>
      <c r="ET18" t="e">
        <f>AND(#REF!,"AAAAAH1v5ZU=")</f>
        <v>#REF!</v>
      </c>
      <c r="EU18" t="e">
        <f>AND(#REF!,"AAAAAH1v5ZY=")</f>
        <v>#REF!</v>
      </c>
      <c r="EV18" t="e">
        <f>AND(#REF!,"AAAAAH1v5Zc=")</f>
        <v>#REF!</v>
      </c>
      <c r="EW18" t="e">
        <f>AND(#REF!,"AAAAAH1v5Zg=")</f>
        <v>#REF!</v>
      </c>
      <c r="EX18" t="e">
        <f>AND(#REF!,"AAAAAH1v5Zk=")</f>
        <v>#REF!</v>
      </c>
      <c r="EY18" t="e">
        <f>IF(#REF!,"AAAAAH1v5Zo=",0)</f>
        <v>#REF!</v>
      </c>
      <c r="EZ18" t="e">
        <f>AND(#REF!,"AAAAAH1v5Zs=")</f>
        <v>#REF!</v>
      </c>
      <c r="FA18" t="e">
        <f>AND(#REF!,"AAAAAH1v5Zw=")</f>
        <v>#REF!</v>
      </c>
      <c r="FB18" t="e">
        <f>AND(#REF!,"AAAAAH1v5Z0=")</f>
        <v>#REF!</v>
      </c>
      <c r="FC18" t="e">
        <f>AND(#REF!,"AAAAAH1v5Z4=")</f>
        <v>#REF!</v>
      </c>
      <c r="FD18" t="e">
        <f>AND(#REF!,"AAAAAH1v5Z8=")</f>
        <v>#REF!</v>
      </c>
      <c r="FE18" t="e">
        <f>AND(#REF!,"AAAAAH1v5aA=")</f>
        <v>#REF!</v>
      </c>
      <c r="FF18" t="e">
        <f>AND(#REF!,"AAAAAH1v5aE=")</f>
        <v>#REF!</v>
      </c>
      <c r="FG18" t="e">
        <f>AND(#REF!,"AAAAAH1v5aI=")</f>
        <v>#REF!</v>
      </c>
      <c r="FH18" t="e">
        <f>AND(#REF!,"AAAAAH1v5aM=")</f>
        <v>#REF!</v>
      </c>
      <c r="FI18" t="e">
        <f>IF(#REF!,"AAAAAH1v5aQ=",0)</f>
        <v>#REF!</v>
      </c>
      <c r="FJ18" t="e">
        <f>AND(#REF!,"AAAAAH1v5aU=")</f>
        <v>#REF!</v>
      </c>
      <c r="FK18" t="e">
        <f>AND(#REF!,"AAAAAH1v5aY=")</f>
        <v>#REF!</v>
      </c>
      <c r="FL18" t="e">
        <f>AND(#REF!,"AAAAAH1v5ac=")</f>
        <v>#REF!</v>
      </c>
      <c r="FM18" t="e">
        <f>AND(#REF!,"AAAAAH1v5ag=")</f>
        <v>#REF!</v>
      </c>
      <c r="FN18" t="e">
        <f>AND(#REF!,"AAAAAH1v5ak=")</f>
        <v>#REF!</v>
      </c>
      <c r="FO18" t="e">
        <f>AND(#REF!,"AAAAAH1v5ao=")</f>
        <v>#REF!</v>
      </c>
      <c r="FP18" t="e">
        <f>AND(#REF!,"AAAAAH1v5as=")</f>
        <v>#REF!</v>
      </c>
      <c r="FQ18" t="e">
        <f>AND(#REF!,"AAAAAH1v5aw=")</f>
        <v>#REF!</v>
      </c>
      <c r="FR18" t="e">
        <f>AND(#REF!,"AAAAAH1v5a0=")</f>
        <v>#REF!</v>
      </c>
      <c r="FS18" t="e">
        <f>IF(#REF!,"AAAAAH1v5a4=",0)</f>
        <v>#REF!</v>
      </c>
      <c r="FT18" t="e">
        <f>AND(#REF!,"AAAAAH1v5a8=")</f>
        <v>#REF!</v>
      </c>
      <c r="FU18" t="e">
        <f>AND(#REF!,"AAAAAH1v5bA=")</f>
        <v>#REF!</v>
      </c>
      <c r="FV18" t="e">
        <f>AND(#REF!,"AAAAAH1v5bE=")</f>
        <v>#REF!</v>
      </c>
      <c r="FW18" t="e">
        <f>AND(#REF!,"AAAAAH1v5bI=")</f>
        <v>#REF!</v>
      </c>
      <c r="FX18" t="e">
        <f>AND(#REF!,"AAAAAH1v5bM=")</f>
        <v>#REF!</v>
      </c>
      <c r="FY18" t="e">
        <f>AND(#REF!,"AAAAAH1v5bQ=")</f>
        <v>#REF!</v>
      </c>
      <c r="FZ18" t="e">
        <f>AND(#REF!,"AAAAAH1v5bU=")</f>
        <v>#REF!</v>
      </c>
      <c r="GA18" t="e">
        <f>AND(#REF!,"AAAAAH1v5bY=")</f>
        <v>#REF!</v>
      </c>
      <c r="GB18" t="e">
        <f>AND(#REF!,"AAAAAH1v5bc=")</f>
        <v>#REF!</v>
      </c>
      <c r="GC18" t="e">
        <f>IF(#REF!,"AAAAAH1v5bg=",0)</f>
        <v>#REF!</v>
      </c>
      <c r="GD18" t="e">
        <f>AND(#REF!,"AAAAAH1v5bk=")</f>
        <v>#REF!</v>
      </c>
      <c r="GE18" t="e">
        <f>AND(#REF!,"AAAAAH1v5bo=")</f>
        <v>#REF!</v>
      </c>
      <c r="GF18" t="e">
        <f>AND(#REF!,"AAAAAH1v5bs=")</f>
        <v>#REF!</v>
      </c>
      <c r="GG18" t="e">
        <f>AND(#REF!,"AAAAAH1v5bw=")</f>
        <v>#REF!</v>
      </c>
      <c r="GH18" t="e">
        <f>AND(#REF!,"AAAAAH1v5b0=")</f>
        <v>#REF!</v>
      </c>
      <c r="GI18" t="e">
        <f>AND(#REF!,"AAAAAH1v5b4=")</f>
        <v>#REF!</v>
      </c>
      <c r="GJ18" t="e">
        <f>AND(#REF!,"AAAAAH1v5b8=")</f>
        <v>#REF!</v>
      </c>
      <c r="GK18" t="e">
        <f>AND(#REF!,"AAAAAH1v5cA=")</f>
        <v>#REF!</v>
      </c>
      <c r="GL18" t="e">
        <f>AND(#REF!,"AAAAAH1v5cE=")</f>
        <v>#REF!</v>
      </c>
      <c r="GM18" t="e">
        <f>IF(#REF!,"AAAAAH1v5cI=",0)</f>
        <v>#REF!</v>
      </c>
      <c r="GN18" t="e">
        <f>AND(#REF!,"AAAAAH1v5cM=")</f>
        <v>#REF!</v>
      </c>
      <c r="GO18" t="e">
        <f>AND(#REF!,"AAAAAH1v5cQ=")</f>
        <v>#REF!</v>
      </c>
      <c r="GP18" t="e">
        <f>AND(#REF!,"AAAAAH1v5cU=")</f>
        <v>#REF!</v>
      </c>
      <c r="GQ18" t="e">
        <f>AND(#REF!,"AAAAAH1v5cY=")</f>
        <v>#REF!</v>
      </c>
      <c r="GR18" t="e">
        <f>AND(#REF!,"AAAAAH1v5cc=")</f>
        <v>#REF!</v>
      </c>
      <c r="GS18" t="e">
        <f>AND(#REF!,"AAAAAH1v5cg=")</f>
        <v>#REF!</v>
      </c>
      <c r="GT18" t="e">
        <f>AND(#REF!,"AAAAAH1v5ck=")</f>
        <v>#REF!</v>
      </c>
      <c r="GU18" t="e">
        <f>AND(#REF!,"AAAAAH1v5co=")</f>
        <v>#REF!</v>
      </c>
      <c r="GV18" t="e">
        <f>AND(#REF!,"AAAAAH1v5cs=")</f>
        <v>#REF!</v>
      </c>
      <c r="GW18" t="e">
        <f>IF(#REF!,"AAAAAH1v5cw=",0)</f>
        <v>#REF!</v>
      </c>
      <c r="GX18" t="e">
        <f>AND(#REF!,"AAAAAH1v5c0=")</f>
        <v>#REF!</v>
      </c>
      <c r="GY18" t="e">
        <f>AND(#REF!,"AAAAAH1v5c4=")</f>
        <v>#REF!</v>
      </c>
      <c r="GZ18" t="e">
        <f>AND(#REF!,"AAAAAH1v5c8=")</f>
        <v>#REF!</v>
      </c>
      <c r="HA18" t="e">
        <f>AND(#REF!,"AAAAAH1v5dA=")</f>
        <v>#REF!</v>
      </c>
      <c r="HB18" t="e">
        <f>AND(#REF!,"AAAAAH1v5dE=")</f>
        <v>#REF!</v>
      </c>
      <c r="HC18" t="e">
        <f>AND(#REF!,"AAAAAH1v5dI=")</f>
        <v>#REF!</v>
      </c>
      <c r="HD18" t="e">
        <f>AND(#REF!,"AAAAAH1v5dM=")</f>
        <v>#REF!</v>
      </c>
      <c r="HE18" t="e">
        <f>AND(#REF!,"AAAAAH1v5dQ=")</f>
        <v>#REF!</v>
      </c>
      <c r="HF18" t="e">
        <f>AND(#REF!,"AAAAAH1v5dU=")</f>
        <v>#REF!</v>
      </c>
      <c r="HG18" t="e">
        <f>IF(#REF!,"AAAAAH1v5dY=",0)</f>
        <v>#REF!</v>
      </c>
      <c r="HH18" t="e">
        <f>AND(#REF!,"AAAAAH1v5dc=")</f>
        <v>#REF!</v>
      </c>
      <c r="HI18" t="e">
        <f>AND(#REF!,"AAAAAH1v5dg=")</f>
        <v>#REF!</v>
      </c>
      <c r="HJ18" t="e">
        <f>AND(#REF!,"AAAAAH1v5dk=")</f>
        <v>#REF!</v>
      </c>
      <c r="HK18" t="e">
        <f>AND(#REF!,"AAAAAH1v5do=")</f>
        <v>#REF!</v>
      </c>
      <c r="HL18" t="e">
        <f>AND(#REF!,"AAAAAH1v5ds=")</f>
        <v>#REF!</v>
      </c>
      <c r="HM18" t="e">
        <f>AND(#REF!,"AAAAAH1v5dw=")</f>
        <v>#REF!</v>
      </c>
      <c r="HN18" t="e">
        <f>AND(#REF!,"AAAAAH1v5d0=")</f>
        <v>#REF!</v>
      </c>
      <c r="HO18" t="e">
        <f>AND(#REF!,"AAAAAH1v5d4=")</f>
        <v>#REF!</v>
      </c>
      <c r="HP18" t="e">
        <f>AND(#REF!,"AAAAAH1v5d8=")</f>
        <v>#REF!</v>
      </c>
      <c r="HQ18" t="e">
        <f>IF(#REF!,"AAAAAH1v5eA=",0)</f>
        <v>#REF!</v>
      </c>
      <c r="HR18" t="e">
        <f>AND(#REF!,"AAAAAH1v5eE=")</f>
        <v>#REF!</v>
      </c>
      <c r="HS18" t="e">
        <f>AND(#REF!,"AAAAAH1v5eI=")</f>
        <v>#REF!</v>
      </c>
      <c r="HT18" t="e">
        <f>AND(#REF!,"AAAAAH1v5eM=")</f>
        <v>#REF!</v>
      </c>
      <c r="HU18" t="e">
        <f>AND(#REF!,"AAAAAH1v5eQ=")</f>
        <v>#REF!</v>
      </c>
      <c r="HV18" t="e">
        <f>AND(#REF!,"AAAAAH1v5eU=")</f>
        <v>#REF!</v>
      </c>
      <c r="HW18" t="e">
        <f>AND(#REF!,"AAAAAH1v5eY=")</f>
        <v>#REF!</v>
      </c>
      <c r="HX18" t="e">
        <f>AND(#REF!,"AAAAAH1v5ec=")</f>
        <v>#REF!</v>
      </c>
      <c r="HY18" t="e">
        <f>AND(#REF!,"AAAAAH1v5eg=")</f>
        <v>#REF!</v>
      </c>
      <c r="HZ18" t="e">
        <f>AND(#REF!,"AAAAAH1v5ek=")</f>
        <v>#REF!</v>
      </c>
      <c r="IA18" t="e">
        <f>IF(#REF!,"AAAAAH1v5eo=",0)</f>
        <v>#REF!</v>
      </c>
      <c r="IB18" t="e">
        <f>AND(#REF!,"AAAAAH1v5es=")</f>
        <v>#REF!</v>
      </c>
      <c r="IC18" t="e">
        <f>AND(#REF!,"AAAAAH1v5ew=")</f>
        <v>#REF!</v>
      </c>
      <c r="ID18" t="e">
        <f>AND(#REF!,"AAAAAH1v5e0=")</f>
        <v>#REF!</v>
      </c>
      <c r="IE18" t="e">
        <f>AND(#REF!,"AAAAAH1v5e4=")</f>
        <v>#REF!</v>
      </c>
      <c r="IF18" t="e">
        <f>AND(#REF!,"AAAAAH1v5e8=")</f>
        <v>#REF!</v>
      </c>
      <c r="IG18" t="e">
        <f>AND(#REF!,"AAAAAH1v5fA=")</f>
        <v>#REF!</v>
      </c>
      <c r="IH18" t="e">
        <f>AND(#REF!,"AAAAAH1v5fE=")</f>
        <v>#REF!</v>
      </c>
      <c r="II18" t="e">
        <f>AND(#REF!,"AAAAAH1v5fI=")</f>
        <v>#REF!</v>
      </c>
      <c r="IJ18" t="e">
        <f>AND(#REF!,"AAAAAH1v5fM=")</f>
        <v>#REF!</v>
      </c>
      <c r="IK18" t="e">
        <f>IF(#REF!,"AAAAAH1v5fQ=",0)</f>
        <v>#REF!</v>
      </c>
      <c r="IL18" t="e">
        <f>AND(#REF!,"AAAAAH1v5fU=")</f>
        <v>#REF!</v>
      </c>
      <c r="IM18" t="e">
        <f>AND(#REF!,"AAAAAH1v5fY=")</f>
        <v>#REF!</v>
      </c>
      <c r="IN18" t="e">
        <f>AND(#REF!,"AAAAAH1v5fc=")</f>
        <v>#REF!</v>
      </c>
      <c r="IO18" t="e">
        <f>AND(#REF!,"AAAAAH1v5fg=")</f>
        <v>#REF!</v>
      </c>
      <c r="IP18" t="e">
        <f>AND(#REF!,"AAAAAH1v5fk=")</f>
        <v>#REF!</v>
      </c>
      <c r="IQ18" t="e">
        <f>AND(#REF!,"AAAAAH1v5fo=")</f>
        <v>#REF!</v>
      </c>
      <c r="IR18" t="e">
        <f>AND(#REF!,"AAAAAH1v5fs=")</f>
        <v>#REF!</v>
      </c>
      <c r="IS18" t="e">
        <f>AND(#REF!,"AAAAAH1v5fw=")</f>
        <v>#REF!</v>
      </c>
      <c r="IT18" t="e">
        <f>AND(#REF!,"AAAAAH1v5f0=")</f>
        <v>#REF!</v>
      </c>
      <c r="IU18" t="e">
        <f>IF(#REF!,"AAAAAH1v5f4=",0)</f>
        <v>#REF!</v>
      </c>
      <c r="IV18" t="e">
        <f>AND(#REF!,"AAAAAH1v5f8=")</f>
        <v>#REF!</v>
      </c>
    </row>
    <row r="19" spans="1:256" ht="12.75">
      <c r="A19" t="e">
        <f>AND(#REF!,"AAAAACvHewA=")</f>
        <v>#REF!</v>
      </c>
      <c r="B19" t="e">
        <f>AND(#REF!,"AAAAACvHewE=")</f>
        <v>#REF!</v>
      </c>
      <c r="C19" t="e">
        <f>AND(#REF!,"AAAAACvHewI=")</f>
        <v>#REF!</v>
      </c>
      <c r="D19" t="e">
        <f>AND(#REF!,"AAAAACvHewM=")</f>
        <v>#REF!</v>
      </c>
      <c r="E19" t="e">
        <f>AND(#REF!,"AAAAACvHewQ=")</f>
        <v>#REF!</v>
      </c>
      <c r="F19" t="e">
        <f>AND(#REF!,"AAAAACvHewU=")</f>
        <v>#REF!</v>
      </c>
      <c r="G19" t="e">
        <f>AND(#REF!,"AAAAACvHewY=")</f>
        <v>#REF!</v>
      </c>
      <c r="H19" t="e">
        <f>AND(#REF!,"AAAAACvHewc=")</f>
        <v>#REF!</v>
      </c>
      <c r="I19" t="e">
        <f>IF(#REF!,"AAAAACvHewg=",0)</f>
        <v>#REF!</v>
      </c>
      <c r="J19" t="e">
        <f>IF(#REF!,"AAAAACvHewk=",0)</f>
        <v>#REF!</v>
      </c>
      <c r="K19" t="e">
        <f>IF(#REF!,"AAAAACvHewo=",0)</f>
        <v>#REF!</v>
      </c>
      <c r="L19" t="e">
        <f>IF(#REF!,"AAAAACvHews=",0)</f>
        <v>#REF!</v>
      </c>
      <c r="M19" t="e">
        <f>IF(#REF!,"AAAAACvHeww=",0)</f>
        <v>#REF!</v>
      </c>
      <c r="N19" t="e">
        <f>IF(#REF!,"AAAAACvHew0=",0)</f>
        <v>#REF!</v>
      </c>
      <c r="O19" t="e">
        <f>IF(#REF!,"AAAAACvHew4=",0)</f>
        <v>#REF!</v>
      </c>
      <c r="P19" t="e">
        <f>IF(#REF!,"AAAAACvHew8=",0)</f>
        <v>#REF!</v>
      </c>
      <c r="Q19" t="e">
        <f>IF(#REF!,"AAAAACvHexA=",0)</f>
        <v>#REF!</v>
      </c>
      <c r="R19" t="e">
        <f>IF(#REF!,"AAAAACvHexE=",0)</f>
        <v>#REF!</v>
      </c>
      <c r="S19" t="e">
        <f>IF(#REF!,"AAAAACvHexI=",0)</f>
        <v>#REF!</v>
      </c>
      <c r="T19" t="e">
        <f>IF(#REF!,"AAAAACvHexM=",0)</f>
        <v>#REF!</v>
      </c>
      <c r="U19" t="e">
        <f>IF(#REF!,"AAAAACvHexQ=",0)</f>
        <v>#REF!</v>
      </c>
      <c r="V19" t="e">
        <f>IF(#REF!,"AAAAACvHexU=",0)</f>
        <v>#REF!</v>
      </c>
      <c r="W19" t="e">
        <f>AND(#REF!,"AAAAACvHexY=")</f>
        <v>#REF!</v>
      </c>
      <c r="X19" t="e">
        <f>AND(#REF!,"AAAAACvHexc=")</f>
        <v>#REF!</v>
      </c>
      <c r="Y19" t="e">
        <f>AND(#REF!,"AAAAACvHexg=")</f>
        <v>#REF!</v>
      </c>
      <c r="Z19" t="e">
        <f>AND(#REF!,"AAAAACvHexk=")</f>
        <v>#REF!</v>
      </c>
      <c r="AA19" t="e">
        <f>AND(#REF!,"AAAAACvHexo=")</f>
        <v>#REF!</v>
      </c>
      <c r="AB19" t="e">
        <f>AND(#REF!,"AAAAACvHexs=")</f>
        <v>#REF!</v>
      </c>
      <c r="AC19" t="e">
        <f>AND(#REF!,"AAAAACvHexw=")</f>
        <v>#REF!</v>
      </c>
      <c r="AD19" t="e">
        <f>AND(#REF!,"AAAAACvHex0=")</f>
        <v>#REF!</v>
      </c>
      <c r="AE19" t="e">
        <f>AND(#REF!,"AAAAACvHex4=")</f>
        <v>#REF!</v>
      </c>
      <c r="AF19" t="e">
        <f>AND(#REF!,"AAAAACvHex8=")</f>
        <v>#REF!</v>
      </c>
      <c r="AG19" t="e">
        <f>IF(#REF!,"AAAAACvHeyA=",0)</f>
        <v>#REF!</v>
      </c>
      <c r="AH19" t="e">
        <f>AND(#REF!,"AAAAACvHeyE=")</f>
        <v>#REF!</v>
      </c>
      <c r="AI19" t="e">
        <f>AND(#REF!,"AAAAACvHeyI=")</f>
        <v>#REF!</v>
      </c>
      <c r="AJ19" t="e">
        <f>AND(#REF!,"AAAAACvHeyM=")</f>
        <v>#REF!</v>
      </c>
      <c r="AK19" t="e">
        <f>AND(#REF!,"AAAAACvHeyQ=")</f>
        <v>#REF!</v>
      </c>
      <c r="AL19" t="e">
        <f>AND(#REF!,"AAAAACvHeyU=")</f>
        <v>#REF!</v>
      </c>
      <c r="AM19" t="e">
        <f>AND(#REF!,"AAAAACvHeyY=")</f>
        <v>#REF!</v>
      </c>
      <c r="AN19" t="e">
        <f>AND(#REF!,"AAAAACvHeyc=")</f>
        <v>#REF!</v>
      </c>
      <c r="AO19" t="e">
        <f>AND(#REF!,"AAAAACvHeyg=")</f>
        <v>#REF!</v>
      </c>
      <c r="AP19" t="e">
        <f>AND(#REF!,"AAAAACvHeyk=")</f>
        <v>#REF!</v>
      </c>
      <c r="AQ19" t="e">
        <f>AND(#REF!,"AAAAACvHeyo=")</f>
        <v>#REF!</v>
      </c>
      <c r="AR19" t="e">
        <f>IF(#REF!,"AAAAACvHeys=",0)</f>
        <v>#REF!</v>
      </c>
      <c r="AS19" t="e">
        <f>AND(#REF!,"AAAAACvHeyw=")</f>
        <v>#REF!</v>
      </c>
      <c r="AT19" t="e">
        <f>AND(#REF!,"AAAAACvHey0=")</f>
        <v>#REF!</v>
      </c>
      <c r="AU19" t="e">
        <f>AND(#REF!,"AAAAACvHey4=")</f>
        <v>#REF!</v>
      </c>
      <c r="AV19" t="e">
        <f>AND(#REF!,"AAAAACvHey8=")</f>
        <v>#REF!</v>
      </c>
      <c r="AW19" t="e">
        <f>AND(#REF!,"AAAAACvHezA=")</f>
        <v>#REF!</v>
      </c>
      <c r="AX19" t="e">
        <f>AND(#REF!,"AAAAACvHezE=")</f>
        <v>#REF!</v>
      </c>
      <c r="AY19" t="e">
        <f>AND(#REF!,"AAAAACvHezI=")</f>
        <v>#REF!</v>
      </c>
      <c r="AZ19" t="e">
        <f>AND(#REF!,"AAAAACvHezM=")</f>
        <v>#REF!</v>
      </c>
      <c r="BA19" t="e">
        <f>AND(#REF!,"AAAAACvHezQ=")</f>
        <v>#REF!</v>
      </c>
      <c r="BB19" t="e">
        <f>AND(#REF!,"AAAAACvHezU=")</f>
        <v>#REF!</v>
      </c>
      <c r="BC19" t="e">
        <f>IF(#REF!,"AAAAACvHezY=",0)</f>
        <v>#REF!</v>
      </c>
      <c r="BD19" t="e">
        <f>AND(#REF!,"AAAAACvHezc=")</f>
        <v>#REF!</v>
      </c>
      <c r="BE19" t="e">
        <f>AND(#REF!,"AAAAACvHezg=")</f>
        <v>#REF!</v>
      </c>
      <c r="BF19" t="e">
        <f>AND(#REF!,"AAAAACvHezk=")</f>
        <v>#REF!</v>
      </c>
      <c r="BG19" t="e">
        <f>AND(#REF!,"AAAAACvHezo=")</f>
        <v>#REF!</v>
      </c>
      <c r="BH19" t="e">
        <f>AND(#REF!,"AAAAACvHezs=")</f>
        <v>#REF!</v>
      </c>
      <c r="BI19" t="e">
        <f>AND(#REF!,"AAAAACvHezw=")</f>
        <v>#REF!</v>
      </c>
      <c r="BJ19" t="e">
        <f>AND(#REF!,"AAAAACvHez0=")</f>
        <v>#REF!</v>
      </c>
      <c r="BK19" t="e">
        <f>AND(#REF!,"AAAAACvHez4=")</f>
        <v>#REF!</v>
      </c>
      <c r="BL19" t="e">
        <f>AND(#REF!,"AAAAACvHez8=")</f>
        <v>#REF!</v>
      </c>
      <c r="BM19" t="e">
        <f>AND(#REF!,"AAAAACvHe0A=")</f>
        <v>#REF!</v>
      </c>
      <c r="BN19" t="e">
        <f>IF(#REF!,"AAAAACvHe0E=",0)</f>
        <v>#REF!</v>
      </c>
      <c r="BO19" t="e">
        <f>AND(#REF!,"AAAAACvHe0I=")</f>
        <v>#REF!</v>
      </c>
      <c r="BP19" t="e">
        <f>AND(#REF!,"AAAAACvHe0M=")</f>
        <v>#REF!</v>
      </c>
      <c r="BQ19" t="e">
        <f>AND(#REF!,"AAAAACvHe0Q=")</f>
        <v>#REF!</v>
      </c>
      <c r="BR19" t="e">
        <f>AND(#REF!,"AAAAACvHe0U=")</f>
        <v>#REF!</v>
      </c>
      <c r="BS19" t="e">
        <f>AND(#REF!,"AAAAACvHe0Y=")</f>
        <v>#REF!</v>
      </c>
      <c r="BT19" t="e">
        <f>AND(#REF!,"AAAAACvHe0c=")</f>
        <v>#REF!</v>
      </c>
      <c r="BU19" t="e">
        <f>AND(#REF!,"AAAAACvHe0g=")</f>
        <v>#REF!</v>
      </c>
      <c r="BV19" t="e">
        <f>AND(#REF!,"AAAAACvHe0k=")</f>
        <v>#REF!</v>
      </c>
      <c r="BW19" t="e">
        <f>AND(#REF!,"AAAAACvHe0o=")</f>
        <v>#REF!</v>
      </c>
      <c r="BX19" t="e">
        <f>AND(#REF!,"AAAAACvHe0s=")</f>
        <v>#REF!</v>
      </c>
      <c r="BY19" t="e">
        <f>IF(#REF!,"AAAAACvHe0w=",0)</f>
        <v>#REF!</v>
      </c>
      <c r="BZ19" t="e">
        <f>AND(#REF!,"AAAAACvHe00=")</f>
        <v>#REF!</v>
      </c>
      <c r="CA19" t="e">
        <f>AND(#REF!,"AAAAACvHe04=")</f>
        <v>#REF!</v>
      </c>
      <c r="CB19" t="e">
        <f>AND(#REF!,"AAAAACvHe08=")</f>
        <v>#REF!</v>
      </c>
      <c r="CC19" t="e">
        <f>AND(#REF!,"AAAAACvHe1A=")</f>
        <v>#REF!</v>
      </c>
      <c r="CD19" t="e">
        <f>AND(#REF!,"AAAAACvHe1E=")</f>
        <v>#REF!</v>
      </c>
      <c r="CE19" t="e">
        <f>AND(#REF!,"AAAAACvHe1I=")</f>
        <v>#REF!</v>
      </c>
      <c r="CF19" t="e">
        <f>AND(#REF!,"AAAAACvHe1M=")</f>
        <v>#REF!</v>
      </c>
      <c r="CG19" t="e">
        <f>AND(#REF!,"AAAAACvHe1Q=")</f>
        <v>#REF!</v>
      </c>
      <c r="CH19" t="e">
        <f>AND(#REF!,"AAAAACvHe1U=")</f>
        <v>#REF!</v>
      </c>
      <c r="CI19" t="e">
        <f>AND(#REF!,"AAAAACvHe1Y=")</f>
        <v>#REF!</v>
      </c>
      <c r="CJ19" t="e">
        <f>IF(#REF!,"AAAAACvHe1c=",0)</f>
        <v>#REF!</v>
      </c>
      <c r="CK19" t="e">
        <f>AND(#REF!,"AAAAACvHe1g=")</f>
        <v>#REF!</v>
      </c>
      <c r="CL19" t="e">
        <f>AND(#REF!,"AAAAACvHe1k=")</f>
        <v>#REF!</v>
      </c>
      <c r="CM19" t="e">
        <f>AND(#REF!,"AAAAACvHe1o=")</f>
        <v>#REF!</v>
      </c>
      <c r="CN19" t="e">
        <f>AND(#REF!,"AAAAACvHe1s=")</f>
        <v>#REF!</v>
      </c>
      <c r="CO19" t="e">
        <f>AND(#REF!,"AAAAACvHe1w=")</f>
        <v>#REF!</v>
      </c>
      <c r="CP19" t="e">
        <f>AND(#REF!,"AAAAACvHe10=")</f>
        <v>#REF!</v>
      </c>
      <c r="CQ19" t="e">
        <f>AND(#REF!,"AAAAACvHe14=")</f>
        <v>#REF!</v>
      </c>
      <c r="CR19" t="e">
        <f>AND(#REF!,"AAAAACvHe18=")</f>
        <v>#REF!</v>
      </c>
      <c r="CS19" t="e">
        <f>AND(#REF!,"AAAAACvHe2A=")</f>
        <v>#REF!</v>
      </c>
      <c r="CT19" t="e">
        <f>AND(#REF!,"AAAAACvHe2E=")</f>
        <v>#REF!</v>
      </c>
      <c r="CU19" t="e">
        <f>IF(#REF!,"AAAAACvHe2I=",0)</f>
        <v>#REF!</v>
      </c>
      <c r="CV19" t="e">
        <f>AND(#REF!,"AAAAACvHe2M=")</f>
        <v>#REF!</v>
      </c>
      <c r="CW19" t="e">
        <f>AND(#REF!,"AAAAACvHe2Q=")</f>
        <v>#REF!</v>
      </c>
      <c r="CX19" t="e">
        <f>AND(#REF!,"AAAAACvHe2U=")</f>
        <v>#REF!</v>
      </c>
      <c r="CY19" t="e">
        <f>AND(#REF!,"AAAAACvHe2Y=")</f>
        <v>#REF!</v>
      </c>
      <c r="CZ19" t="e">
        <f>AND(#REF!,"AAAAACvHe2c=")</f>
        <v>#REF!</v>
      </c>
      <c r="DA19" t="e">
        <f>AND(#REF!,"AAAAACvHe2g=")</f>
        <v>#REF!</v>
      </c>
      <c r="DB19" t="e">
        <f>AND(#REF!,"AAAAACvHe2k=")</f>
        <v>#REF!</v>
      </c>
      <c r="DC19" t="e">
        <f>AND(#REF!,"AAAAACvHe2o=")</f>
        <v>#REF!</v>
      </c>
      <c r="DD19" t="e">
        <f>AND(#REF!,"AAAAACvHe2s=")</f>
        <v>#REF!</v>
      </c>
      <c r="DE19" t="e">
        <f>AND(#REF!,"AAAAACvHe2w=")</f>
        <v>#REF!</v>
      </c>
      <c r="DF19" t="e">
        <f>IF(#REF!,"AAAAACvHe20=",0)</f>
        <v>#REF!</v>
      </c>
      <c r="DG19" t="e">
        <f>AND(#REF!,"AAAAACvHe24=")</f>
        <v>#REF!</v>
      </c>
      <c r="DH19" t="e">
        <f>AND(#REF!,"AAAAACvHe28=")</f>
        <v>#REF!</v>
      </c>
      <c r="DI19" t="e">
        <f>AND(#REF!,"AAAAACvHe3A=")</f>
        <v>#REF!</v>
      </c>
      <c r="DJ19" t="e">
        <f>AND(#REF!,"AAAAACvHe3E=")</f>
        <v>#REF!</v>
      </c>
      <c r="DK19" t="e">
        <f>AND(#REF!,"AAAAACvHe3I=")</f>
        <v>#REF!</v>
      </c>
      <c r="DL19" t="e">
        <f>AND(#REF!,"AAAAACvHe3M=")</f>
        <v>#REF!</v>
      </c>
      <c r="DM19" t="e">
        <f>AND(#REF!,"AAAAACvHe3Q=")</f>
        <v>#REF!</v>
      </c>
      <c r="DN19" t="e">
        <f>AND(#REF!,"AAAAACvHe3U=")</f>
        <v>#REF!</v>
      </c>
      <c r="DO19" t="e">
        <f>AND(#REF!,"AAAAACvHe3Y=")</f>
        <v>#REF!</v>
      </c>
      <c r="DP19" t="e">
        <f>AND(#REF!,"AAAAACvHe3c=")</f>
        <v>#REF!</v>
      </c>
      <c r="DQ19" t="e">
        <f>IF(#REF!,"AAAAACvHe3g=",0)</f>
        <v>#REF!</v>
      </c>
      <c r="DR19" t="e">
        <f>AND(#REF!,"AAAAACvHe3k=")</f>
        <v>#REF!</v>
      </c>
      <c r="DS19" t="e">
        <f>AND(#REF!,"AAAAACvHe3o=")</f>
        <v>#REF!</v>
      </c>
      <c r="DT19" t="e">
        <f>AND(#REF!,"AAAAACvHe3s=")</f>
        <v>#REF!</v>
      </c>
      <c r="DU19" t="e">
        <f>AND(#REF!,"AAAAACvHe3w=")</f>
        <v>#REF!</v>
      </c>
      <c r="DV19" t="e">
        <f>AND(#REF!,"AAAAACvHe30=")</f>
        <v>#REF!</v>
      </c>
      <c r="DW19" t="e">
        <f>AND(#REF!,"AAAAACvHe34=")</f>
        <v>#REF!</v>
      </c>
      <c r="DX19" t="e">
        <f>AND(#REF!,"AAAAACvHe38=")</f>
        <v>#REF!</v>
      </c>
      <c r="DY19" t="e">
        <f>AND(#REF!,"AAAAACvHe4A=")</f>
        <v>#REF!</v>
      </c>
      <c r="DZ19" t="e">
        <f>AND(#REF!,"AAAAACvHe4E=")</f>
        <v>#REF!</v>
      </c>
      <c r="EA19" t="e">
        <f>AND(#REF!,"AAAAACvHe4I=")</f>
        <v>#REF!</v>
      </c>
      <c r="EB19" t="e">
        <f>IF(#REF!,"AAAAACvHe4M=",0)</f>
        <v>#REF!</v>
      </c>
      <c r="EC19" t="e">
        <f>AND(#REF!,"AAAAACvHe4Q=")</f>
        <v>#REF!</v>
      </c>
      <c r="ED19" t="e">
        <f>AND(#REF!,"AAAAACvHe4U=")</f>
        <v>#REF!</v>
      </c>
      <c r="EE19" t="e">
        <f>AND(#REF!,"AAAAACvHe4Y=")</f>
        <v>#REF!</v>
      </c>
      <c r="EF19" t="e">
        <f>AND(#REF!,"AAAAACvHe4c=")</f>
        <v>#REF!</v>
      </c>
      <c r="EG19" t="e">
        <f>AND(#REF!,"AAAAACvHe4g=")</f>
        <v>#REF!</v>
      </c>
      <c r="EH19" t="e">
        <f>AND(#REF!,"AAAAACvHe4k=")</f>
        <v>#REF!</v>
      </c>
      <c r="EI19" t="e">
        <f>AND(#REF!,"AAAAACvHe4o=")</f>
        <v>#REF!</v>
      </c>
      <c r="EJ19" t="e">
        <f>AND(#REF!,"AAAAACvHe4s=")</f>
        <v>#REF!</v>
      </c>
      <c r="EK19" t="e">
        <f>AND(#REF!,"AAAAACvHe4w=")</f>
        <v>#REF!</v>
      </c>
      <c r="EL19" t="e">
        <f>AND(#REF!,"AAAAACvHe40=")</f>
        <v>#REF!</v>
      </c>
      <c r="EM19" t="e">
        <f>IF(#REF!,"AAAAACvHe44=",0)</f>
        <v>#REF!</v>
      </c>
      <c r="EN19" t="e">
        <f>AND(#REF!,"AAAAACvHe48=")</f>
        <v>#REF!</v>
      </c>
      <c r="EO19" t="e">
        <f>AND(#REF!,"AAAAACvHe5A=")</f>
        <v>#REF!</v>
      </c>
      <c r="EP19" t="e">
        <f>AND(#REF!,"AAAAACvHe5E=")</f>
        <v>#REF!</v>
      </c>
      <c r="EQ19" t="e">
        <f>AND(#REF!,"AAAAACvHe5I=")</f>
        <v>#REF!</v>
      </c>
      <c r="ER19" t="e">
        <f>AND(#REF!,"AAAAACvHe5M=")</f>
        <v>#REF!</v>
      </c>
      <c r="ES19" t="e">
        <f>AND(#REF!,"AAAAACvHe5Q=")</f>
        <v>#REF!</v>
      </c>
      <c r="ET19" t="e">
        <f>AND(#REF!,"AAAAACvHe5U=")</f>
        <v>#REF!</v>
      </c>
      <c r="EU19" t="e">
        <f>AND(#REF!,"AAAAACvHe5Y=")</f>
        <v>#REF!</v>
      </c>
      <c r="EV19" t="e">
        <f>AND(#REF!,"AAAAACvHe5c=")</f>
        <v>#REF!</v>
      </c>
      <c r="EW19" t="e">
        <f>AND(#REF!,"AAAAACvHe5g=")</f>
        <v>#REF!</v>
      </c>
      <c r="EX19" t="e">
        <f>IF(#REF!,"AAAAACvHe5k=",0)</f>
        <v>#REF!</v>
      </c>
      <c r="EY19" t="e">
        <f>AND(#REF!,"AAAAACvHe5o=")</f>
        <v>#REF!</v>
      </c>
      <c r="EZ19" t="e">
        <f>AND(#REF!,"AAAAACvHe5s=")</f>
        <v>#REF!</v>
      </c>
      <c r="FA19" t="e">
        <f>AND(#REF!,"AAAAACvHe5w=")</f>
        <v>#REF!</v>
      </c>
      <c r="FB19" t="e">
        <f>AND(#REF!,"AAAAACvHe50=")</f>
        <v>#REF!</v>
      </c>
      <c r="FC19" t="e">
        <f>AND(#REF!,"AAAAACvHe54=")</f>
        <v>#REF!</v>
      </c>
      <c r="FD19" t="e">
        <f>AND(#REF!,"AAAAACvHe58=")</f>
        <v>#REF!</v>
      </c>
      <c r="FE19" t="e">
        <f>AND(#REF!,"AAAAACvHe6A=")</f>
        <v>#REF!</v>
      </c>
      <c r="FF19" t="e">
        <f>AND(#REF!,"AAAAACvHe6E=")</f>
        <v>#REF!</v>
      </c>
      <c r="FG19" t="e">
        <f>AND(#REF!,"AAAAACvHe6I=")</f>
        <v>#REF!</v>
      </c>
      <c r="FH19" t="e">
        <f>AND(#REF!,"AAAAACvHe6M=")</f>
        <v>#REF!</v>
      </c>
      <c r="FI19" t="e">
        <f>IF(#REF!,"AAAAACvHe6Q=",0)</f>
        <v>#REF!</v>
      </c>
      <c r="FJ19" t="e">
        <f>AND(#REF!,"AAAAACvHe6U=")</f>
        <v>#REF!</v>
      </c>
      <c r="FK19" t="e">
        <f>AND(#REF!,"AAAAACvHe6Y=")</f>
        <v>#REF!</v>
      </c>
      <c r="FL19" t="e">
        <f>AND(#REF!,"AAAAACvHe6c=")</f>
        <v>#REF!</v>
      </c>
      <c r="FM19" t="e">
        <f>AND(#REF!,"AAAAACvHe6g=")</f>
        <v>#REF!</v>
      </c>
      <c r="FN19" t="e">
        <f>AND(#REF!,"AAAAACvHe6k=")</f>
        <v>#REF!</v>
      </c>
      <c r="FO19" t="e">
        <f>AND(#REF!,"AAAAACvHe6o=")</f>
        <v>#REF!</v>
      </c>
      <c r="FP19" t="e">
        <f>AND(#REF!,"AAAAACvHe6s=")</f>
        <v>#REF!</v>
      </c>
      <c r="FQ19" t="e">
        <f>AND(#REF!,"AAAAACvHe6w=")</f>
        <v>#REF!</v>
      </c>
      <c r="FR19" t="e">
        <f>AND(#REF!,"AAAAACvHe60=")</f>
        <v>#REF!</v>
      </c>
      <c r="FS19" t="e">
        <f>AND(#REF!,"AAAAACvHe64=")</f>
        <v>#REF!</v>
      </c>
      <c r="FT19" t="e">
        <f>IF(#REF!,"AAAAACvHe68=",0)</f>
        <v>#REF!</v>
      </c>
      <c r="FU19" t="e">
        <f>AND(#REF!,"AAAAACvHe7A=")</f>
        <v>#REF!</v>
      </c>
      <c r="FV19" t="e">
        <f>AND(#REF!,"AAAAACvHe7E=")</f>
        <v>#REF!</v>
      </c>
      <c r="FW19" t="e">
        <f>AND(#REF!,"AAAAACvHe7I=")</f>
        <v>#REF!</v>
      </c>
      <c r="FX19" t="e">
        <f>AND(#REF!,"AAAAACvHe7M=")</f>
        <v>#REF!</v>
      </c>
      <c r="FY19" t="e">
        <f>AND(#REF!,"AAAAACvHe7Q=")</f>
        <v>#REF!</v>
      </c>
      <c r="FZ19" t="e">
        <f>AND(#REF!,"AAAAACvHe7U=")</f>
        <v>#REF!</v>
      </c>
      <c r="GA19" t="e">
        <f>AND(#REF!,"AAAAACvHe7Y=")</f>
        <v>#REF!</v>
      </c>
      <c r="GB19" t="e">
        <f>AND(#REF!,"AAAAACvHe7c=")</f>
        <v>#REF!</v>
      </c>
      <c r="GC19" t="e">
        <f>AND(#REF!,"AAAAACvHe7g=")</f>
        <v>#REF!</v>
      </c>
      <c r="GD19" t="e">
        <f>AND(#REF!,"AAAAACvHe7k=")</f>
        <v>#REF!</v>
      </c>
      <c r="GE19" t="e">
        <f>IF(#REF!,"AAAAACvHe7o=",0)</f>
        <v>#REF!</v>
      </c>
      <c r="GF19" t="e">
        <f>AND(#REF!,"AAAAACvHe7s=")</f>
        <v>#REF!</v>
      </c>
      <c r="GG19" t="e">
        <f>AND(#REF!,"AAAAACvHe7w=")</f>
        <v>#REF!</v>
      </c>
      <c r="GH19" t="e">
        <f>AND(#REF!,"AAAAACvHe70=")</f>
        <v>#REF!</v>
      </c>
      <c r="GI19" t="e">
        <f>AND(#REF!,"AAAAACvHe74=")</f>
        <v>#REF!</v>
      </c>
      <c r="GJ19" t="e">
        <f>AND(#REF!,"AAAAACvHe78=")</f>
        <v>#REF!</v>
      </c>
      <c r="GK19" t="e">
        <f>AND(#REF!,"AAAAACvHe8A=")</f>
        <v>#REF!</v>
      </c>
      <c r="GL19" t="e">
        <f>AND(#REF!,"AAAAACvHe8E=")</f>
        <v>#REF!</v>
      </c>
      <c r="GM19" t="e">
        <f>AND(#REF!,"AAAAACvHe8I=")</f>
        <v>#REF!</v>
      </c>
      <c r="GN19" t="e">
        <f>AND(#REF!,"AAAAACvHe8M=")</f>
        <v>#REF!</v>
      </c>
      <c r="GO19" t="e">
        <f>AND(#REF!,"AAAAACvHe8Q=")</f>
        <v>#REF!</v>
      </c>
      <c r="GP19" t="e">
        <f>IF(#REF!,"AAAAACvHe8U=",0)</f>
        <v>#REF!</v>
      </c>
      <c r="GQ19" t="e">
        <f>AND(#REF!,"AAAAACvHe8Y=")</f>
        <v>#REF!</v>
      </c>
      <c r="GR19" t="e">
        <f>AND(#REF!,"AAAAACvHe8c=")</f>
        <v>#REF!</v>
      </c>
      <c r="GS19" t="e">
        <f>AND(#REF!,"AAAAACvHe8g=")</f>
        <v>#REF!</v>
      </c>
      <c r="GT19" t="e">
        <f>AND(#REF!,"AAAAACvHe8k=")</f>
        <v>#REF!</v>
      </c>
      <c r="GU19" t="e">
        <f>AND(#REF!,"AAAAACvHe8o=")</f>
        <v>#REF!</v>
      </c>
      <c r="GV19" t="e">
        <f>AND(#REF!,"AAAAACvHe8s=")</f>
        <v>#REF!</v>
      </c>
      <c r="GW19" t="e">
        <f>AND(#REF!,"AAAAACvHe8w=")</f>
        <v>#REF!</v>
      </c>
      <c r="GX19" t="e">
        <f>AND(#REF!,"AAAAACvHe80=")</f>
        <v>#REF!</v>
      </c>
      <c r="GY19" t="e">
        <f>AND(#REF!,"AAAAACvHe84=")</f>
        <v>#REF!</v>
      </c>
      <c r="GZ19" t="e">
        <f>AND(#REF!,"AAAAACvHe88=")</f>
        <v>#REF!</v>
      </c>
      <c r="HA19" t="e">
        <f>IF(#REF!,"AAAAACvHe9A=",0)</f>
        <v>#REF!</v>
      </c>
      <c r="HB19" t="e">
        <f>AND(#REF!,"AAAAACvHe9E=")</f>
        <v>#REF!</v>
      </c>
      <c r="HC19" t="e">
        <f>AND(#REF!,"AAAAACvHe9I=")</f>
        <v>#REF!</v>
      </c>
      <c r="HD19" t="e">
        <f>AND(#REF!,"AAAAACvHe9M=")</f>
        <v>#REF!</v>
      </c>
      <c r="HE19" t="e">
        <f>AND(#REF!,"AAAAACvHe9Q=")</f>
        <v>#REF!</v>
      </c>
      <c r="HF19" t="e">
        <f>AND(#REF!,"AAAAACvHe9U=")</f>
        <v>#REF!</v>
      </c>
      <c r="HG19" t="e">
        <f>AND(#REF!,"AAAAACvHe9Y=")</f>
        <v>#REF!</v>
      </c>
      <c r="HH19" t="e">
        <f>AND(#REF!,"AAAAACvHe9c=")</f>
        <v>#REF!</v>
      </c>
      <c r="HI19" t="e">
        <f>AND(#REF!,"AAAAACvHe9g=")</f>
        <v>#REF!</v>
      </c>
      <c r="HJ19" t="e">
        <f>AND(#REF!,"AAAAACvHe9k=")</f>
        <v>#REF!</v>
      </c>
      <c r="HK19" t="e">
        <f>AND(#REF!,"AAAAACvHe9o=")</f>
        <v>#REF!</v>
      </c>
      <c r="HL19" t="e">
        <f>IF(#REF!,"AAAAACvHe9s=",0)</f>
        <v>#REF!</v>
      </c>
      <c r="HM19" t="e">
        <f>AND(#REF!,"AAAAACvHe9w=")</f>
        <v>#REF!</v>
      </c>
      <c r="HN19" t="e">
        <f>AND(#REF!,"AAAAACvHe90=")</f>
        <v>#REF!</v>
      </c>
      <c r="HO19" t="e">
        <f>AND(#REF!,"AAAAACvHe94=")</f>
        <v>#REF!</v>
      </c>
      <c r="HP19" t="e">
        <f>AND(#REF!,"AAAAACvHe98=")</f>
        <v>#REF!</v>
      </c>
      <c r="HQ19" t="e">
        <f>AND(#REF!,"AAAAACvHe+A=")</f>
        <v>#REF!</v>
      </c>
      <c r="HR19" t="e">
        <f>AND(#REF!,"AAAAACvHe+E=")</f>
        <v>#REF!</v>
      </c>
      <c r="HS19" t="e">
        <f>AND(#REF!,"AAAAACvHe+I=")</f>
        <v>#REF!</v>
      </c>
      <c r="HT19" t="e">
        <f>AND(#REF!,"AAAAACvHe+M=")</f>
        <v>#REF!</v>
      </c>
      <c r="HU19" t="e">
        <f>AND(#REF!,"AAAAACvHe+Q=")</f>
        <v>#REF!</v>
      </c>
      <c r="HV19" t="e">
        <f>AND(#REF!,"AAAAACvHe+U=")</f>
        <v>#REF!</v>
      </c>
      <c r="HW19" t="e">
        <f>IF(#REF!,"AAAAACvHe+Y=",0)</f>
        <v>#REF!</v>
      </c>
      <c r="HX19" t="e">
        <f>AND(#REF!,"AAAAACvHe+c=")</f>
        <v>#REF!</v>
      </c>
      <c r="HY19" t="e">
        <f>AND(#REF!,"AAAAACvHe+g=")</f>
        <v>#REF!</v>
      </c>
      <c r="HZ19" t="e">
        <f>AND(#REF!,"AAAAACvHe+k=")</f>
        <v>#REF!</v>
      </c>
      <c r="IA19" t="e">
        <f>AND(#REF!,"AAAAACvHe+o=")</f>
        <v>#REF!</v>
      </c>
      <c r="IB19" t="e">
        <f>AND(#REF!,"AAAAACvHe+s=")</f>
        <v>#REF!</v>
      </c>
      <c r="IC19" t="e">
        <f>AND(#REF!,"AAAAACvHe+w=")</f>
        <v>#REF!</v>
      </c>
      <c r="ID19" t="e">
        <f>AND(#REF!,"AAAAACvHe+0=")</f>
        <v>#REF!</v>
      </c>
      <c r="IE19" t="e">
        <f>AND(#REF!,"AAAAACvHe+4=")</f>
        <v>#REF!</v>
      </c>
      <c r="IF19" t="e">
        <f>AND(#REF!,"AAAAACvHe+8=")</f>
        <v>#REF!</v>
      </c>
      <c r="IG19" t="e">
        <f>AND(#REF!,"AAAAACvHe/A=")</f>
        <v>#REF!</v>
      </c>
      <c r="IH19" t="e">
        <f>IF(#REF!,"AAAAACvHe/E=",0)</f>
        <v>#REF!</v>
      </c>
      <c r="II19" t="e">
        <f>AND(#REF!,"AAAAACvHe/I=")</f>
        <v>#REF!</v>
      </c>
      <c r="IJ19" t="e">
        <f>AND(#REF!,"AAAAACvHe/M=")</f>
        <v>#REF!</v>
      </c>
      <c r="IK19" t="e">
        <f>AND(#REF!,"AAAAACvHe/Q=")</f>
        <v>#REF!</v>
      </c>
      <c r="IL19" t="e">
        <f>AND(#REF!,"AAAAACvHe/U=")</f>
        <v>#REF!</v>
      </c>
      <c r="IM19" t="e">
        <f>AND(#REF!,"AAAAACvHe/Y=")</f>
        <v>#REF!</v>
      </c>
      <c r="IN19" t="e">
        <f>AND(#REF!,"AAAAACvHe/c=")</f>
        <v>#REF!</v>
      </c>
      <c r="IO19" t="e">
        <f>AND(#REF!,"AAAAACvHe/g=")</f>
        <v>#REF!</v>
      </c>
      <c r="IP19" t="e">
        <f>AND(#REF!,"AAAAACvHe/k=")</f>
        <v>#REF!</v>
      </c>
      <c r="IQ19" t="e">
        <f>AND(#REF!,"AAAAACvHe/o=")</f>
        <v>#REF!</v>
      </c>
      <c r="IR19" t="e">
        <f>AND(#REF!,"AAAAACvHe/s=")</f>
        <v>#REF!</v>
      </c>
      <c r="IS19" t="e">
        <f>IF(#REF!,"AAAAACvHe/w=",0)</f>
        <v>#REF!</v>
      </c>
      <c r="IT19" t="e">
        <f>AND(#REF!,"AAAAACvHe/0=")</f>
        <v>#REF!</v>
      </c>
      <c r="IU19" t="e">
        <f>AND(#REF!,"AAAAACvHe/4=")</f>
        <v>#REF!</v>
      </c>
      <c r="IV19" t="e">
        <f>AND(#REF!,"AAAAACvHe/8=")</f>
        <v>#REF!</v>
      </c>
    </row>
    <row r="20" spans="1:256" ht="12.75">
      <c r="A20" t="e">
        <f>AND(#REF!,"AAAAAFzQnwA=")</f>
        <v>#REF!</v>
      </c>
      <c r="B20" t="e">
        <f>AND(#REF!,"AAAAAFzQnwE=")</f>
        <v>#REF!</v>
      </c>
      <c r="C20" t="e">
        <f>AND(#REF!,"AAAAAFzQnwI=")</f>
        <v>#REF!</v>
      </c>
      <c r="D20" t="e">
        <f>AND(#REF!,"AAAAAFzQnwM=")</f>
        <v>#REF!</v>
      </c>
      <c r="E20" t="e">
        <f>AND(#REF!,"AAAAAFzQnwQ=")</f>
        <v>#REF!</v>
      </c>
      <c r="F20" t="e">
        <f>AND(#REF!,"AAAAAFzQnwU=")</f>
        <v>#REF!</v>
      </c>
      <c r="G20" t="e">
        <f>AND(#REF!,"AAAAAFzQnwY=")</f>
        <v>#REF!</v>
      </c>
      <c r="H20" t="e">
        <f>IF(#REF!,"AAAAAFzQnwc=",0)</f>
        <v>#REF!</v>
      </c>
      <c r="I20" t="e">
        <f>AND(#REF!,"AAAAAFzQnwg=")</f>
        <v>#REF!</v>
      </c>
      <c r="J20" t="e">
        <f>AND(#REF!,"AAAAAFzQnwk=")</f>
        <v>#REF!</v>
      </c>
      <c r="K20" t="e">
        <f>AND(#REF!,"AAAAAFzQnwo=")</f>
        <v>#REF!</v>
      </c>
      <c r="L20" t="e">
        <f>AND(#REF!,"AAAAAFzQnws=")</f>
        <v>#REF!</v>
      </c>
      <c r="M20" t="e">
        <f>AND(#REF!,"AAAAAFzQnww=")</f>
        <v>#REF!</v>
      </c>
      <c r="N20" t="e">
        <f>AND(#REF!,"AAAAAFzQnw0=")</f>
        <v>#REF!</v>
      </c>
      <c r="O20" t="e">
        <f>AND(#REF!,"AAAAAFzQnw4=")</f>
        <v>#REF!</v>
      </c>
      <c r="P20" t="e">
        <f>AND(#REF!,"AAAAAFzQnw8=")</f>
        <v>#REF!</v>
      </c>
      <c r="Q20" t="e">
        <f>AND(#REF!,"AAAAAFzQnxA=")</f>
        <v>#REF!</v>
      </c>
      <c r="R20" t="e">
        <f>AND(#REF!,"AAAAAFzQnxE=")</f>
        <v>#REF!</v>
      </c>
      <c r="S20" t="e">
        <f>IF(#REF!,"AAAAAFzQnxI=",0)</f>
        <v>#REF!</v>
      </c>
      <c r="T20" t="e">
        <f>AND(#REF!,"AAAAAFzQnxM=")</f>
        <v>#REF!</v>
      </c>
      <c r="U20" t="e">
        <f>AND(#REF!,"AAAAAFzQnxQ=")</f>
        <v>#REF!</v>
      </c>
      <c r="V20" t="e">
        <f>AND(#REF!,"AAAAAFzQnxU=")</f>
        <v>#REF!</v>
      </c>
      <c r="W20" t="e">
        <f>AND(#REF!,"AAAAAFzQnxY=")</f>
        <v>#REF!</v>
      </c>
      <c r="X20" t="e">
        <f>AND(#REF!,"AAAAAFzQnxc=")</f>
        <v>#REF!</v>
      </c>
      <c r="Y20" t="e">
        <f>AND(#REF!,"AAAAAFzQnxg=")</f>
        <v>#REF!</v>
      </c>
      <c r="Z20" t="e">
        <f>AND(#REF!,"AAAAAFzQnxk=")</f>
        <v>#REF!</v>
      </c>
      <c r="AA20" t="e">
        <f>AND(#REF!,"AAAAAFzQnxo=")</f>
        <v>#REF!</v>
      </c>
      <c r="AB20" t="e">
        <f>AND(#REF!,"AAAAAFzQnxs=")</f>
        <v>#REF!</v>
      </c>
      <c r="AC20" t="e">
        <f>AND(#REF!,"AAAAAFzQnxw=")</f>
        <v>#REF!</v>
      </c>
      <c r="AD20" t="e">
        <f>IF(#REF!,"AAAAAFzQnx0=",0)</f>
        <v>#REF!</v>
      </c>
      <c r="AE20" t="e">
        <f>AND(#REF!,"AAAAAFzQnx4=")</f>
        <v>#REF!</v>
      </c>
      <c r="AF20" t="e">
        <f>AND(#REF!,"AAAAAFzQnx8=")</f>
        <v>#REF!</v>
      </c>
      <c r="AG20" t="e">
        <f>AND(#REF!,"AAAAAFzQnyA=")</f>
        <v>#REF!</v>
      </c>
      <c r="AH20" t="e">
        <f>AND(#REF!,"AAAAAFzQnyE=")</f>
        <v>#REF!</v>
      </c>
      <c r="AI20" t="e">
        <f>AND(#REF!,"AAAAAFzQnyI=")</f>
        <v>#REF!</v>
      </c>
      <c r="AJ20" t="e">
        <f>AND(#REF!,"AAAAAFzQnyM=")</f>
        <v>#REF!</v>
      </c>
      <c r="AK20" t="e">
        <f>AND(#REF!,"AAAAAFzQnyQ=")</f>
        <v>#REF!</v>
      </c>
      <c r="AL20" t="e">
        <f>AND(#REF!,"AAAAAFzQnyU=")</f>
        <v>#REF!</v>
      </c>
      <c r="AM20" t="e">
        <f>AND(#REF!,"AAAAAFzQnyY=")</f>
        <v>#REF!</v>
      </c>
      <c r="AN20" t="e">
        <f>AND(#REF!,"AAAAAFzQnyc=")</f>
        <v>#REF!</v>
      </c>
      <c r="AO20" t="e">
        <f>IF(#REF!,"AAAAAFzQnyg=",0)</f>
        <v>#REF!</v>
      </c>
      <c r="AP20" t="e">
        <f>IF(#REF!,"AAAAAFzQnyk=",0)</f>
        <v>#REF!</v>
      </c>
      <c r="AQ20" t="e">
        <f>IF(#REF!,"AAAAAFzQnyo=",0)</f>
        <v>#REF!</v>
      </c>
      <c r="AR20" t="e">
        <f>IF(#REF!,"AAAAAFzQnys=",0)</f>
        <v>#REF!</v>
      </c>
      <c r="AS20" t="e">
        <f>IF(#REF!,"AAAAAFzQnyw=",0)</f>
        <v>#REF!</v>
      </c>
      <c r="AT20" t="e">
        <f>IF(#REF!,"AAAAAFzQny0=",0)</f>
        <v>#REF!</v>
      </c>
      <c r="AU20" t="e">
        <f>IF(#REF!,"AAAAAFzQny4=",0)</f>
        <v>#REF!</v>
      </c>
      <c r="AV20" t="e">
        <f>IF(#REF!,"AAAAAFzQny8=",0)</f>
        <v>#REF!</v>
      </c>
      <c r="AW20" t="e">
        <f>IF(#REF!,"AAAAAFzQnzA=",0)</f>
        <v>#REF!</v>
      </c>
      <c r="AX20" t="e">
        <f>IF(#REF!,"AAAAAFzQnzE=",0)</f>
        <v>#REF!</v>
      </c>
      <c r="AY20" t="e">
        <f>IF(#REF!,"AAAAAFzQnzI=",0)</f>
        <v>#REF!</v>
      </c>
      <c r="AZ20" t="e">
        <f>IF(#REF!,"AAAAAFzQnzM=",0)</f>
        <v>#REF!</v>
      </c>
      <c r="BA20" t="e">
        <f>IF(#REF!,"AAAAAFzQnzQ=",0)</f>
        <v>#REF!</v>
      </c>
      <c r="BB20" t="e">
        <f>IF(#REF!,"AAAAAFzQnzU=",0)</f>
        <v>#REF!</v>
      </c>
      <c r="BC20" t="e">
        <f>IF(#REF!,"AAAAAFzQnzY=",0)</f>
        <v>#REF!</v>
      </c>
      <c r="BD20" t="e">
        <f>AND(#REF!,"AAAAAFzQnzc=")</f>
        <v>#REF!</v>
      </c>
      <c r="BE20" t="e">
        <f>AND(#REF!,"AAAAAFzQnzg=")</f>
        <v>#REF!</v>
      </c>
      <c r="BF20" t="e">
        <f>AND(#REF!,"AAAAAFzQnzk=")</f>
        <v>#REF!</v>
      </c>
      <c r="BG20" t="e">
        <f>AND(#REF!,"AAAAAFzQnzo=")</f>
        <v>#REF!</v>
      </c>
      <c r="BH20" t="e">
        <f>AND(#REF!,"AAAAAFzQnzs=")</f>
        <v>#REF!</v>
      </c>
      <c r="BI20" t="e">
        <f>AND(#REF!,"AAAAAFzQnzw=")</f>
        <v>#REF!</v>
      </c>
      <c r="BJ20" t="e">
        <f>AND(#REF!,"AAAAAFzQnz0=")</f>
        <v>#REF!</v>
      </c>
      <c r="BK20" t="e">
        <f>AND(#REF!,"AAAAAFzQnz4=")</f>
        <v>#REF!</v>
      </c>
      <c r="BL20" t="e">
        <f>AND(#REF!,"AAAAAFzQnz8=")</f>
        <v>#REF!</v>
      </c>
      <c r="BM20" t="e">
        <f>IF(#REF!,"AAAAAFzQn0A=",0)</f>
        <v>#REF!</v>
      </c>
      <c r="BN20" t="e">
        <f>AND(#REF!,"AAAAAFzQn0E=")</f>
        <v>#REF!</v>
      </c>
      <c r="BO20" t="e">
        <f>AND(#REF!,"AAAAAFzQn0I=")</f>
        <v>#REF!</v>
      </c>
      <c r="BP20" t="e">
        <f>AND(#REF!,"AAAAAFzQn0M=")</f>
        <v>#REF!</v>
      </c>
      <c r="BQ20" t="e">
        <f>AND(#REF!,"AAAAAFzQn0Q=")</f>
        <v>#REF!</v>
      </c>
      <c r="BR20" t="e">
        <f>AND(#REF!,"AAAAAFzQn0U=")</f>
        <v>#REF!</v>
      </c>
      <c r="BS20" t="e">
        <f>AND(#REF!,"AAAAAFzQn0Y=")</f>
        <v>#REF!</v>
      </c>
      <c r="BT20" t="e">
        <f>AND(#REF!,"AAAAAFzQn0c=")</f>
        <v>#REF!</v>
      </c>
      <c r="BU20" t="e">
        <f>AND(#REF!,"AAAAAFzQn0g=")</f>
        <v>#REF!</v>
      </c>
      <c r="BV20" t="e">
        <f>AND(#REF!,"AAAAAFzQn0k=")</f>
        <v>#REF!</v>
      </c>
      <c r="BW20" t="e">
        <f>IF(#REF!,"AAAAAFzQn0o=",0)</f>
        <v>#REF!</v>
      </c>
      <c r="BX20" t="e">
        <f>AND(#REF!,"AAAAAFzQn0s=")</f>
        <v>#REF!</v>
      </c>
      <c r="BY20" t="e">
        <f>AND(#REF!,"AAAAAFzQn0w=")</f>
        <v>#REF!</v>
      </c>
      <c r="BZ20" t="e">
        <f>AND(#REF!,"AAAAAFzQn00=")</f>
        <v>#REF!</v>
      </c>
      <c r="CA20" t="e">
        <f>AND(#REF!,"AAAAAFzQn04=")</f>
        <v>#REF!</v>
      </c>
      <c r="CB20" t="e">
        <f>AND(#REF!,"AAAAAFzQn08=")</f>
        <v>#REF!</v>
      </c>
      <c r="CC20" t="e">
        <f>AND(#REF!,"AAAAAFzQn1A=")</f>
        <v>#REF!</v>
      </c>
      <c r="CD20" t="e">
        <f>AND(#REF!,"AAAAAFzQn1E=")</f>
        <v>#REF!</v>
      </c>
      <c r="CE20" t="e">
        <f>AND(#REF!,"AAAAAFzQn1I=")</f>
        <v>#REF!</v>
      </c>
      <c r="CF20" t="e">
        <f>AND(#REF!,"AAAAAFzQn1M=")</f>
        <v>#REF!</v>
      </c>
      <c r="CG20" t="e">
        <f>IF(#REF!,"AAAAAFzQn1Q=",0)</f>
        <v>#REF!</v>
      </c>
      <c r="CH20" t="e">
        <f>AND(#REF!,"AAAAAFzQn1U=")</f>
        <v>#REF!</v>
      </c>
      <c r="CI20" t="e">
        <f>AND(#REF!,"AAAAAFzQn1Y=")</f>
        <v>#REF!</v>
      </c>
      <c r="CJ20" t="e">
        <f>AND(#REF!,"AAAAAFzQn1c=")</f>
        <v>#REF!</v>
      </c>
      <c r="CK20" t="e">
        <f>AND(#REF!,"AAAAAFzQn1g=")</f>
        <v>#REF!</v>
      </c>
      <c r="CL20" t="e">
        <f>AND(#REF!,"AAAAAFzQn1k=")</f>
        <v>#REF!</v>
      </c>
      <c r="CM20" t="e">
        <f>AND(#REF!,"AAAAAFzQn1o=")</f>
        <v>#REF!</v>
      </c>
      <c r="CN20" t="e">
        <f>AND(#REF!,"AAAAAFzQn1s=")</f>
        <v>#REF!</v>
      </c>
      <c r="CO20" t="e">
        <f>AND(#REF!,"AAAAAFzQn1w=")</f>
        <v>#REF!</v>
      </c>
      <c r="CP20" t="e">
        <f>AND(#REF!,"AAAAAFzQn10=")</f>
        <v>#REF!</v>
      </c>
      <c r="CQ20" t="e">
        <f>IF(#REF!,"AAAAAFzQn14=",0)</f>
        <v>#REF!</v>
      </c>
      <c r="CR20" t="e">
        <f>AND(#REF!,"AAAAAFzQn18=")</f>
        <v>#REF!</v>
      </c>
      <c r="CS20" t="e">
        <f>AND(#REF!,"AAAAAFzQn2A=")</f>
        <v>#REF!</v>
      </c>
      <c r="CT20" t="e">
        <f>AND(#REF!,"AAAAAFzQn2E=")</f>
        <v>#REF!</v>
      </c>
      <c r="CU20" t="e">
        <f>AND(#REF!,"AAAAAFzQn2I=")</f>
        <v>#REF!</v>
      </c>
      <c r="CV20" t="e">
        <f>AND(#REF!,"AAAAAFzQn2M=")</f>
        <v>#REF!</v>
      </c>
      <c r="CW20" t="e">
        <f>AND(#REF!,"AAAAAFzQn2Q=")</f>
        <v>#REF!</v>
      </c>
      <c r="CX20" t="e">
        <f>AND(#REF!,"AAAAAFzQn2U=")</f>
        <v>#REF!</v>
      </c>
      <c r="CY20" t="e">
        <f>AND(#REF!,"AAAAAFzQn2Y=")</f>
        <v>#REF!</v>
      </c>
      <c r="CZ20" t="e">
        <f>AND(#REF!,"AAAAAFzQn2c=")</f>
        <v>#REF!</v>
      </c>
      <c r="DA20" t="e">
        <f>IF(#REF!,"AAAAAFzQn2g=",0)</f>
        <v>#REF!</v>
      </c>
      <c r="DB20" t="e">
        <f>AND(#REF!,"AAAAAFzQn2k=")</f>
        <v>#REF!</v>
      </c>
      <c r="DC20" t="e">
        <f>AND(#REF!,"AAAAAFzQn2o=")</f>
        <v>#REF!</v>
      </c>
      <c r="DD20" t="e">
        <f>AND(#REF!,"AAAAAFzQn2s=")</f>
        <v>#REF!</v>
      </c>
      <c r="DE20" t="e">
        <f>AND(#REF!,"AAAAAFzQn2w=")</f>
        <v>#REF!</v>
      </c>
      <c r="DF20" t="e">
        <f>AND(#REF!,"AAAAAFzQn20=")</f>
        <v>#REF!</v>
      </c>
      <c r="DG20" t="e">
        <f>AND(#REF!,"AAAAAFzQn24=")</f>
        <v>#REF!</v>
      </c>
      <c r="DH20" t="e">
        <f>AND(#REF!,"AAAAAFzQn28=")</f>
        <v>#REF!</v>
      </c>
      <c r="DI20" t="e">
        <f>AND(#REF!,"AAAAAFzQn3A=")</f>
        <v>#REF!</v>
      </c>
      <c r="DJ20" t="e">
        <f>AND(#REF!,"AAAAAFzQn3E=")</f>
        <v>#REF!</v>
      </c>
      <c r="DK20" t="e">
        <f>IF(#REF!,"AAAAAFzQn3I=",0)</f>
        <v>#REF!</v>
      </c>
      <c r="DL20" t="e">
        <f>AND(#REF!,"AAAAAFzQn3M=")</f>
        <v>#REF!</v>
      </c>
      <c r="DM20" t="e">
        <f>AND(#REF!,"AAAAAFzQn3Q=")</f>
        <v>#REF!</v>
      </c>
      <c r="DN20" t="e">
        <f>AND(#REF!,"AAAAAFzQn3U=")</f>
        <v>#REF!</v>
      </c>
      <c r="DO20" t="e">
        <f>AND(#REF!,"AAAAAFzQn3Y=")</f>
        <v>#REF!</v>
      </c>
      <c r="DP20" t="e">
        <f>AND(#REF!,"AAAAAFzQn3c=")</f>
        <v>#REF!</v>
      </c>
      <c r="DQ20" t="e">
        <f>AND(#REF!,"AAAAAFzQn3g=")</f>
        <v>#REF!</v>
      </c>
      <c r="DR20" t="e">
        <f>AND(#REF!,"AAAAAFzQn3k=")</f>
        <v>#REF!</v>
      </c>
      <c r="DS20" t="e">
        <f>AND(#REF!,"AAAAAFzQn3o=")</f>
        <v>#REF!</v>
      </c>
      <c r="DT20" t="e">
        <f>AND(#REF!,"AAAAAFzQn3s=")</f>
        <v>#REF!</v>
      </c>
      <c r="DU20" t="e">
        <f>IF(#REF!,"AAAAAFzQn3w=",0)</f>
        <v>#REF!</v>
      </c>
      <c r="DV20" t="e">
        <f>AND(#REF!,"AAAAAFzQn30=")</f>
        <v>#REF!</v>
      </c>
      <c r="DW20" t="e">
        <f>AND(#REF!,"AAAAAFzQn34=")</f>
        <v>#REF!</v>
      </c>
      <c r="DX20" t="e">
        <f>AND(#REF!,"AAAAAFzQn38=")</f>
        <v>#REF!</v>
      </c>
      <c r="DY20" t="e">
        <f>AND(#REF!,"AAAAAFzQn4A=")</f>
        <v>#REF!</v>
      </c>
      <c r="DZ20" t="e">
        <f>AND(#REF!,"AAAAAFzQn4E=")</f>
        <v>#REF!</v>
      </c>
      <c r="EA20" t="e">
        <f>AND(#REF!,"AAAAAFzQn4I=")</f>
        <v>#REF!</v>
      </c>
      <c r="EB20" t="e">
        <f>AND(#REF!,"AAAAAFzQn4M=")</f>
        <v>#REF!</v>
      </c>
      <c r="EC20" t="e">
        <f>AND(#REF!,"AAAAAFzQn4Q=")</f>
        <v>#REF!</v>
      </c>
      <c r="ED20" t="e">
        <f>AND(#REF!,"AAAAAFzQn4U=")</f>
        <v>#REF!</v>
      </c>
      <c r="EE20" t="e">
        <f>IF(#REF!,"AAAAAFzQn4Y=",0)</f>
        <v>#REF!</v>
      </c>
      <c r="EF20" t="e">
        <f>AND(#REF!,"AAAAAFzQn4c=")</f>
        <v>#REF!</v>
      </c>
      <c r="EG20" t="e">
        <f>AND(#REF!,"AAAAAFzQn4g=")</f>
        <v>#REF!</v>
      </c>
      <c r="EH20" t="e">
        <f>AND(#REF!,"AAAAAFzQn4k=")</f>
        <v>#REF!</v>
      </c>
      <c r="EI20" t="e">
        <f>AND(#REF!,"AAAAAFzQn4o=")</f>
        <v>#REF!</v>
      </c>
      <c r="EJ20" t="e">
        <f>AND(#REF!,"AAAAAFzQn4s=")</f>
        <v>#REF!</v>
      </c>
      <c r="EK20" t="e">
        <f>AND(#REF!,"AAAAAFzQn4w=")</f>
        <v>#REF!</v>
      </c>
      <c r="EL20" t="e">
        <f>AND(#REF!,"AAAAAFzQn40=")</f>
        <v>#REF!</v>
      </c>
      <c r="EM20" t="e">
        <f>AND(#REF!,"AAAAAFzQn44=")</f>
        <v>#REF!</v>
      </c>
      <c r="EN20" t="e">
        <f>AND(#REF!,"AAAAAFzQn48=")</f>
        <v>#REF!</v>
      </c>
      <c r="EO20" t="e">
        <f>IF(#REF!,"AAAAAFzQn5A=",0)</f>
        <v>#REF!</v>
      </c>
      <c r="EP20" t="e">
        <f>AND(#REF!,"AAAAAFzQn5E=")</f>
        <v>#REF!</v>
      </c>
      <c r="EQ20" t="e">
        <f>AND(#REF!,"AAAAAFzQn5I=")</f>
        <v>#REF!</v>
      </c>
      <c r="ER20" t="e">
        <f>AND(#REF!,"AAAAAFzQn5M=")</f>
        <v>#REF!</v>
      </c>
      <c r="ES20" t="e">
        <f>AND(#REF!,"AAAAAFzQn5Q=")</f>
        <v>#REF!</v>
      </c>
      <c r="ET20" t="e">
        <f>AND(#REF!,"AAAAAFzQn5U=")</f>
        <v>#REF!</v>
      </c>
      <c r="EU20" t="e">
        <f>AND(#REF!,"AAAAAFzQn5Y=")</f>
        <v>#REF!</v>
      </c>
      <c r="EV20" t="e">
        <f>AND(#REF!,"AAAAAFzQn5c=")</f>
        <v>#REF!</v>
      </c>
      <c r="EW20" t="e">
        <f>AND(#REF!,"AAAAAFzQn5g=")</f>
        <v>#REF!</v>
      </c>
      <c r="EX20" t="e">
        <f>AND(#REF!,"AAAAAFzQn5k=")</f>
        <v>#REF!</v>
      </c>
      <c r="EY20" t="e">
        <f>IF(#REF!,"AAAAAFzQn5o=",0)</f>
        <v>#REF!</v>
      </c>
      <c r="EZ20" t="e">
        <f>AND(#REF!,"AAAAAFzQn5s=")</f>
        <v>#REF!</v>
      </c>
      <c r="FA20" t="e">
        <f>AND(#REF!,"AAAAAFzQn5w=")</f>
        <v>#REF!</v>
      </c>
      <c r="FB20" t="e">
        <f>AND(#REF!,"AAAAAFzQn50=")</f>
        <v>#REF!</v>
      </c>
      <c r="FC20" t="e">
        <f>AND(#REF!,"AAAAAFzQn54=")</f>
        <v>#REF!</v>
      </c>
      <c r="FD20" t="e">
        <f>AND(#REF!,"AAAAAFzQn58=")</f>
        <v>#REF!</v>
      </c>
      <c r="FE20" t="e">
        <f>AND(#REF!,"AAAAAFzQn6A=")</f>
        <v>#REF!</v>
      </c>
      <c r="FF20" t="e">
        <f>AND(#REF!,"AAAAAFzQn6E=")</f>
        <v>#REF!</v>
      </c>
      <c r="FG20" t="e">
        <f>AND(#REF!,"AAAAAFzQn6I=")</f>
        <v>#REF!</v>
      </c>
      <c r="FH20" t="e">
        <f>AND(#REF!,"AAAAAFzQn6M=")</f>
        <v>#REF!</v>
      </c>
      <c r="FI20" t="e">
        <f>IF(#REF!,"AAAAAFzQn6Q=",0)</f>
        <v>#REF!</v>
      </c>
      <c r="FJ20" t="e">
        <f>AND(#REF!,"AAAAAFzQn6U=")</f>
        <v>#REF!</v>
      </c>
      <c r="FK20" t="e">
        <f>AND(#REF!,"AAAAAFzQn6Y=")</f>
        <v>#REF!</v>
      </c>
      <c r="FL20" t="e">
        <f>AND(#REF!,"AAAAAFzQn6c=")</f>
        <v>#REF!</v>
      </c>
      <c r="FM20" t="e">
        <f>AND(#REF!,"AAAAAFzQn6g=")</f>
        <v>#REF!</v>
      </c>
      <c r="FN20" t="e">
        <f>AND(#REF!,"AAAAAFzQn6k=")</f>
        <v>#REF!</v>
      </c>
      <c r="FO20" t="e">
        <f>AND(#REF!,"AAAAAFzQn6o=")</f>
        <v>#REF!</v>
      </c>
      <c r="FP20" t="e">
        <f>AND(#REF!,"AAAAAFzQn6s=")</f>
        <v>#REF!</v>
      </c>
      <c r="FQ20" t="e">
        <f>AND(#REF!,"AAAAAFzQn6w=")</f>
        <v>#REF!</v>
      </c>
      <c r="FR20" t="e">
        <f>AND(#REF!,"AAAAAFzQn60=")</f>
        <v>#REF!</v>
      </c>
      <c r="FS20" t="e">
        <f>IF(#REF!,"AAAAAFzQn64=",0)</f>
        <v>#REF!</v>
      </c>
      <c r="FT20" t="e">
        <f>AND(#REF!,"AAAAAFzQn68=")</f>
        <v>#REF!</v>
      </c>
      <c r="FU20" t="e">
        <f>AND(#REF!,"AAAAAFzQn7A=")</f>
        <v>#REF!</v>
      </c>
      <c r="FV20" t="e">
        <f>AND(#REF!,"AAAAAFzQn7E=")</f>
        <v>#REF!</v>
      </c>
      <c r="FW20" t="e">
        <f>AND(#REF!,"AAAAAFzQn7I=")</f>
        <v>#REF!</v>
      </c>
      <c r="FX20" t="e">
        <f>AND(#REF!,"AAAAAFzQn7M=")</f>
        <v>#REF!</v>
      </c>
      <c r="FY20" t="e">
        <f>AND(#REF!,"AAAAAFzQn7Q=")</f>
        <v>#REF!</v>
      </c>
      <c r="FZ20" t="e">
        <f>AND(#REF!,"AAAAAFzQn7U=")</f>
        <v>#REF!</v>
      </c>
      <c r="GA20" t="e">
        <f>AND(#REF!,"AAAAAFzQn7Y=")</f>
        <v>#REF!</v>
      </c>
      <c r="GB20" t="e">
        <f>AND(#REF!,"AAAAAFzQn7c=")</f>
        <v>#REF!</v>
      </c>
      <c r="GC20" t="e">
        <f>IF(#REF!,"AAAAAFzQn7g=",0)</f>
        <v>#REF!</v>
      </c>
      <c r="GD20" t="e">
        <f>AND(#REF!,"AAAAAFzQn7k=")</f>
        <v>#REF!</v>
      </c>
      <c r="GE20" t="e">
        <f>AND(#REF!,"AAAAAFzQn7o=")</f>
        <v>#REF!</v>
      </c>
      <c r="GF20" t="e">
        <f>AND(#REF!,"AAAAAFzQn7s=")</f>
        <v>#REF!</v>
      </c>
      <c r="GG20" t="e">
        <f>AND(#REF!,"AAAAAFzQn7w=")</f>
        <v>#REF!</v>
      </c>
      <c r="GH20" t="e">
        <f>AND(#REF!,"AAAAAFzQn70=")</f>
        <v>#REF!</v>
      </c>
      <c r="GI20" t="e">
        <f>AND(#REF!,"AAAAAFzQn74=")</f>
        <v>#REF!</v>
      </c>
      <c r="GJ20" t="e">
        <f>AND(#REF!,"AAAAAFzQn78=")</f>
        <v>#REF!</v>
      </c>
      <c r="GK20" t="e">
        <f>AND(#REF!,"AAAAAFzQn8A=")</f>
        <v>#REF!</v>
      </c>
      <c r="GL20" t="e">
        <f>AND(#REF!,"AAAAAFzQn8E=")</f>
        <v>#REF!</v>
      </c>
      <c r="GM20" t="e">
        <f>IF(#REF!,"AAAAAFzQn8I=",0)</f>
        <v>#REF!</v>
      </c>
      <c r="GN20" t="e">
        <f>AND(#REF!,"AAAAAFzQn8M=")</f>
        <v>#REF!</v>
      </c>
      <c r="GO20" t="e">
        <f>AND(#REF!,"AAAAAFzQn8Q=")</f>
        <v>#REF!</v>
      </c>
      <c r="GP20" t="e">
        <f>AND(#REF!,"AAAAAFzQn8U=")</f>
        <v>#REF!</v>
      </c>
      <c r="GQ20" t="e">
        <f>AND(#REF!,"AAAAAFzQn8Y=")</f>
        <v>#REF!</v>
      </c>
      <c r="GR20" t="e">
        <f>AND(#REF!,"AAAAAFzQn8c=")</f>
        <v>#REF!</v>
      </c>
      <c r="GS20" t="e">
        <f>AND(#REF!,"AAAAAFzQn8g=")</f>
        <v>#REF!</v>
      </c>
      <c r="GT20" t="e">
        <f>AND(#REF!,"AAAAAFzQn8k=")</f>
        <v>#REF!</v>
      </c>
      <c r="GU20" t="e">
        <f>AND(#REF!,"AAAAAFzQn8o=")</f>
        <v>#REF!</v>
      </c>
      <c r="GV20" t="e">
        <f>AND(#REF!,"AAAAAFzQn8s=")</f>
        <v>#REF!</v>
      </c>
      <c r="GW20" t="e">
        <f>IF(#REF!,"AAAAAFzQn8w=",0)</f>
        <v>#REF!</v>
      </c>
      <c r="GX20" t="e">
        <f>AND(#REF!,"AAAAAFzQn80=")</f>
        <v>#REF!</v>
      </c>
      <c r="GY20" t="e">
        <f>AND(#REF!,"AAAAAFzQn84=")</f>
        <v>#REF!</v>
      </c>
      <c r="GZ20" t="e">
        <f>AND(#REF!,"AAAAAFzQn88=")</f>
        <v>#REF!</v>
      </c>
      <c r="HA20" t="e">
        <f>AND(#REF!,"AAAAAFzQn9A=")</f>
        <v>#REF!</v>
      </c>
      <c r="HB20" t="e">
        <f>AND(#REF!,"AAAAAFzQn9E=")</f>
        <v>#REF!</v>
      </c>
      <c r="HC20" t="e">
        <f>AND(#REF!,"AAAAAFzQn9I=")</f>
        <v>#REF!</v>
      </c>
      <c r="HD20" t="e">
        <f>AND(#REF!,"AAAAAFzQn9M=")</f>
        <v>#REF!</v>
      </c>
      <c r="HE20" t="e">
        <f>AND(#REF!,"AAAAAFzQn9Q=")</f>
        <v>#REF!</v>
      </c>
      <c r="HF20" t="e">
        <f>AND(#REF!,"AAAAAFzQn9U=")</f>
        <v>#REF!</v>
      </c>
      <c r="HG20" t="e">
        <f>IF(#REF!,"AAAAAFzQn9Y=",0)</f>
        <v>#REF!</v>
      </c>
      <c r="HH20" t="e">
        <f>AND(#REF!,"AAAAAFzQn9c=")</f>
        <v>#REF!</v>
      </c>
      <c r="HI20" t="e">
        <f>AND(#REF!,"AAAAAFzQn9g=")</f>
        <v>#REF!</v>
      </c>
      <c r="HJ20" t="e">
        <f>AND(#REF!,"AAAAAFzQn9k=")</f>
        <v>#REF!</v>
      </c>
      <c r="HK20" t="e">
        <f>AND(#REF!,"AAAAAFzQn9o=")</f>
        <v>#REF!</v>
      </c>
      <c r="HL20" t="e">
        <f>AND(#REF!,"AAAAAFzQn9s=")</f>
        <v>#REF!</v>
      </c>
      <c r="HM20" t="e">
        <f>AND(#REF!,"AAAAAFzQn9w=")</f>
        <v>#REF!</v>
      </c>
      <c r="HN20" t="e">
        <f>AND(#REF!,"AAAAAFzQn90=")</f>
        <v>#REF!</v>
      </c>
      <c r="HO20" t="e">
        <f>AND(#REF!,"AAAAAFzQn94=")</f>
        <v>#REF!</v>
      </c>
      <c r="HP20" t="e">
        <f>AND(#REF!,"AAAAAFzQn98=")</f>
        <v>#REF!</v>
      </c>
      <c r="HQ20" t="e">
        <f>IF(#REF!,"AAAAAFzQn+A=",0)</f>
        <v>#REF!</v>
      </c>
      <c r="HR20" t="e">
        <f>AND(#REF!,"AAAAAFzQn+E=")</f>
        <v>#REF!</v>
      </c>
      <c r="HS20" t="e">
        <f>AND(#REF!,"AAAAAFzQn+I=")</f>
        <v>#REF!</v>
      </c>
      <c r="HT20" t="e">
        <f>AND(#REF!,"AAAAAFzQn+M=")</f>
        <v>#REF!</v>
      </c>
      <c r="HU20" t="e">
        <f>AND(#REF!,"AAAAAFzQn+Q=")</f>
        <v>#REF!</v>
      </c>
      <c r="HV20" t="e">
        <f>AND(#REF!,"AAAAAFzQn+U=")</f>
        <v>#REF!</v>
      </c>
      <c r="HW20" t="e">
        <f>AND(#REF!,"AAAAAFzQn+Y=")</f>
        <v>#REF!</v>
      </c>
      <c r="HX20" t="e">
        <f>AND(#REF!,"AAAAAFzQn+c=")</f>
        <v>#REF!</v>
      </c>
      <c r="HY20" t="e">
        <f>AND(#REF!,"AAAAAFzQn+g=")</f>
        <v>#REF!</v>
      </c>
      <c r="HZ20" t="e">
        <f>AND(#REF!,"AAAAAFzQn+k=")</f>
        <v>#REF!</v>
      </c>
      <c r="IA20" t="e">
        <f>IF(#REF!,"AAAAAFzQn+o=",0)</f>
        <v>#REF!</v>
      </c>
      <c r="IB20" t="e">
        <f>AND(#REF!,"AAAAAFzQn+s=")</f>
        <v>#REF!</v>
      </c>
      <c r="IC20" t="e">
        <f>AND(#REF!,"AAAAAFzQn+w=")</f>
        <v>#REF!</v>
      </c>
      <c r="ID20" t="e">
        <f>AND(#REF!,"AAAAAFzQn+0=")</f>
        <v>#REF!</v>
      </c>
      <c r="IE20" t="e">
        <f>AND(#REF!,"AAAAAFzQn+4=")</f>
        <v>#REF!</v>
      </c>
      <c r="IF20" t="e">
        <f>AND(#REF!,"AAAAAFzQn+8=")</f>
        <v>#REF!</v>
      </c>
      <c r="IG20" t="e">
        <f>AND(#REF!,"AAAAAFzQn/A=")</f>
        <v>#REF!</v>
      </c>
      <c r="IH20" t="e">
        <f>AND(#REF!,"AAAAAFzQn/E=")</f>
        <v>#REF!</v>
      </c>
      <c r="II20" t="e">
        <f>AND(#REF!,"AAAAAFzQn/I=")</f>
        <v>#REF!</v>
      </c>
      <c r="IJ20" t="e">
        <f>AND(#REF!,"AAAAAFzQn/M=")</f>
        <v>#REF!</v>
      </c>
      <c r="IK20" t="e">
        <f>IF(#REF!,"AAAAAFzQn/Q=",0)</f>
        <v>#REF!</v>
      </c>
      <c r="IL20" t="e">
        <f>IF(#REF!,"AAAAAFzQn/U=",0)</f>
        <v>#REF!</v>
      </c>
      <c r="IM20" t="e">
        <f>IF(#REF!,"AAAAAFzQn/Y=",0)</f>
        <v>#REF!</v>
      </c>
      <c r="IN20" t="e">
        <f>IF(#REF!,"AAAAAFzQn/c=",0)</f>
        <v>#REF!</v>
      </c>
      <c r="IO20" t="e">
        <f>IF(#REF!,"AAAAAFzQn/g=",0)</f>
        <v>#REF!</v>
      </c>
      <c r="IP20" t="e">
        <f>IF(#REF!,"AAAAAFzQn/k=",0)</f>
        <v>#REF!</v>
      </c>
      <c r="IQ20" t="e">
        <f>IF(#REF!,"AAAAAFzQn/o=",0)</f>
        <v>#REF!</v>
      </c>
      <c r="IR20" t="e">
        <f>IF(#REF!,"AAAAAFzQn/s=",0)</f>
        <v>#REF!</v>
      </c>
      <c r="IS20" t="e">
        <f>IF(#REF!,"AAAAAFzQn/w=",0)</f>
        <v>#REF!</v>
      </c>
      <c r="IT20" t="e">
        <f>IF(#REF!,"AAAAAFzQn/0=",0)</f>
        <v>#REF!</v>
      </c>
      <c r="IU20" t="e">
        <f>AND(#REF!,"AAAAAFzQn/4=")</f>
        <v>#REF!</v>
      </c>
      <c r="IV20" t="e">
        <f>AND(#REF!,"AAAAAFzQn/8=")</f>
        <v>#REF!</v>
      </c>
    </row>
    <row r="21" spans="1:256" ht="12.75">
      <c r="A21" t="e">
        <f>AND(#REF!,"AAAAAD6V2wA=")</f>
        <v>#REF!</v>
      </c>
      <c r="B21" t="e">
        <f>AND(#REF!,"AAAAAD6V2wE=")</f>
        <v>#REF!</v>
      </c>
      <c r="C21" t="e">
        <f>AND(#REF!,"AAAAAD6V2wI=")</f>
        <v>#REF!</v>
      </c>
      <c r="D21" t="e">
        <f>AND(#REF!,"AAAAAD6V2wM=")</f>
        <v>#REF!</v>
      </c>
      <c r="E21" t="e">
        <f>AND(#REF!,"AAAAAD6V2wQ=")</f>
        <v>#REF!</v>
      </c>
      <c r="F21" t="e">
        <f>AND(#REF!,"AAAAAD6V2wU=")</f>
        <v>#REF!</v>
      </c>
      <c r="G21" t="e">
        <f>AND(#REF!,"AAAAAD6V2wY=")</f>
        <v>#REF!</v>
      </c>
      <c r="H21" t="e">
        <f>AND(#REF!,"AAAAAD6V2wc=")</f>
        <v>#REF!</v>
      </c>
      <c r="I21" t="e">
        <f>AND(#REF!,"AAAAAD6V2wg=")</f>
        <v>#REF!</v>
      </c>
      <c r="J21" t="e">
        <f>AND(#REF!,"AAAAAD6V2wk=")</f>
        <v>#REF!</v>
      </c>
      <c r="K21" t="e">
        <f>AND(#REF!,"AAAAAD6V2wo=")</f>
        <v>#REF!</v>
      </c>
      <c r="L21" t="e">
        <f>AND(#REF!,"AAAAAD6V2ws=")</f>
        <v>#REF!</v>
      </c>
      <c r="M21" t="e">
        <f>AND(#REF!,"AAAAAD6V2ww=")</f>
        <v>#REF!</v>
      </c>
      <c r="N21" t="e">
        <f>AND(#REF!,"AAAAAD6V2w0=")</f>
        <v>#REF!</v>
      </c>
      <c r="O21" t="e">
        <f>AND(#REF!,"AAAAAD6V2w4=")</f>
        <v>#REF!</v>
      </c>
      <c r="P21" t="e">
        <f>AND(#REF!,"AAAAAD6V2w8=")</f>
        <v>#REF!</v>
      </c>
      <c r="Q21" t="e">
        <f>IF(#REF!,"AAAAAD6V2xA=",0)</f>
        <v>#REF!</v>
      </c>
      <c r="R21" t="e">
        <f>AND(#REF!,"AAAAAD6V2xE=")</f>
        <v>#REF!</v>
      </c>
      <c r="S21" t="e">
        <f>AND(#REF!,"AAAAAD6V2xI=")</f>
        <v>#REF!</v>
      </c>
      <c r="T21" t="e">
        <f>AND(#REF!,"AAAAAD6V2xM=")</f>
        <v>#REF!</v>
      </c>
      <c r="U21" t="e">
        <f>AND(#REF!,"AAAAAD6V2xQ=")</f>
        <v>#REF!</v>
      </c>
      <c r="V21" t="e">
        <f>AND(#REF!,"AAAAAD6V2xU=")</f>
        <v>#REF!</v>
      </c>
      <c r="W21" t="e">
        <f>AND(#REF!,"AAAAAD6V2xY=")</f>
        <v>#REF!</v>
      </c>
      <c r="X21" t="e">
        <f>AND(#REF!,"AAAAAD6V2xc=")</f>
        <v>#REF!</v>
      </c>
      <c r="Y21" t="e">
        <f>AND(#REF!,"AAAAAD6V2xg=")</f>
        <v>#REF!</v>
      </c>
      <c r="Z21" t="e">
        <f>AND(#REF!,"AAAAAD6V2xk=")</f>
        <v>#REF!</v>
      </c>
      <c r="AA21" t="e">
        <f>AND(#REF!,"AAAAAD6V2xo=")</f>
        <v>#REF!</v>
      </c>
      <c r="AB21" t="e">
        <f>AND(#REF!,"AAAAAD6V2xs=")</f>
        <v>#REF!</v>
      </c>
      <c r="AC21" t="e">
        <f>AND(#REF!,"AAAAAD6V2xw=")</f>
        <v>#REF!</v>
      </c>
      <c r="AD21" t="e">
        <f>AND(#REF!,"AAAAAD6V2x0=")</f>
        <v>#REF!</v>
      </c>
      <c r="AE21" t="e">
        <f>AND(#REF!,"AAAAAD6V2x4=")</f>
        <v>#REF!</v>
      </c>
      <c r="AF21" t="e">
        <f>AND(#REF!,"AAAAAD6V2x8=")</f>
        <v>#REF!</v>
      </c>
      <c r="AG21" t="e">
        <f>AND(#REF!,"AAAAAD6V2yA=")</f>
        <v>#REF!</v>
      </c>
      <c r="AH21" t="e">
        <f>AND(#REF!,"AAAAAD6V2yE=")</f>
        <v>#REF!</v>
      </c>
      <c r="AI21" t="e">
        <f>AND(#REF!,"AAAAAD6V2yI=")</f>
        <v>#REF!</v>
      </c>
      <c r="AJ21" t="e">
        <f>IF(#REF!,"AAAAAD6V2yM=",0)</f>
        <v>#REF!</v>
      </c>
      <c r="AK21" t="e">
        <f>AND(#REF!,"AAAAAD6V2yQ=")</f>
        <v>#REF!</v>
      </c>
      <c r="AL21" t="e">
        <f>AND(#REF!,"AAAAAD6V2yU=")</f>
        <v>#REF!</v>
      </c>
      <c r="AM21" t="e">
        <f>AND(#REF!,"AAAAAD6V2yY=")</f>
        <v>#REF!</v>
      </c>
      <c r="AN21" t="e">
        <f>AND(#REF!,"AAAAAD6V2yc=")</f>
        <v>#REF!</v>
      </c>
      <c r="AO21" t="e">
        <f>AND(#REF!,"AAAAAD6V2yg=")</f>
        <v>#REF!</v>
      </c>
      <c r="AP21" t="e">
        <f>AND(#REF!,"AAAAAD6V2yk=")</f>
        <v>#REF!</v>
      </c>
      <c r="AQ21" t="e">
        <f>AND(#REF!,"AAAAAD6V2yo=")</f>
        <v>#REF!</v>
      </c>
      <c r="AR21" t="e">
        <f>AND(#REF!,"AAAAAD6V2ys=")</f>
        <v>#REF!</v>
      </c>
      <c r="AS21" t="e">
        <f>AND(#REF!,"AAAAAD6V2yw=")</f>
        <v>#REF!</v>
      </c>
      <c r="AT21" t="e">
        <f>AND(#REF!,"AAAAAD6V2y0=")</f>
        <v>#REF!</v>
      </c>
      <c r="AU21" t="e">
        <f>AND(#REF!,"AAAAAD6V2y4=")</f>
        <v>#REF!</v>
      </c>
      <c r="AV21" t="e">
        <f>AND(#REF!,"AAAAAD6V2y8=")</f>
        <v>#REF!</v>
      </c>
      <c r="AW21" t="e">
        <f>AND(#REF!,"AAAAAD6V2zA=")</f>
        <v>#REF!</v>
      </c>
      <c r="AX21" t="e">
        <f>AND(#REF!,"AAAAAD6V2zE=")</f>
        <v>#REF!</v>
      </c>
      <c r="AY21" t="e">
        <f>AND(#REF!,"AAAAAD6V2zI=")</f>
        <v>#REF!</v>
      </c>
      <c r="AZ21" t="e">
        <f>AND(#REF!,"AAAAAD6V2zM=")</f>
        <v>#REF!</v>
      </c>
      <c r="BA21" t="e">
        <f>AND(#REF!,"AAAAAD6V2zQ=")</f>
        <v>#REF!</v>
      </c>
      <c r="BB21" t="e">
        <f>AND(#REF!,"AAAAAD6V2zU=")</f>
        <v>#REF!</v>
      </c>
      <c r="BC21" t="e">
        <f>IF(#REF!,"AAAAAD6V2zY=",0)</f>
        <v>#REF!</v>
      </c>
      <c r="BD21" t="e">
        <f>AND(#REF!,"AAAAAD6V2zc=")</f>
        <v>#REF!</v>
      </c>
      <c r="BE21" t="e">
        <f>AND(#REF!,"AAAAAD6V2zg=")</f>
        <v>#REF!</v>
      </c>
      <c r="BF21" t="e">
        <f>AND(#REF!,"AAAAAD6V2zk=")</f>
        <v>#REF!</v>
      </c>
      <c r="BG21" t="e">
        <f>AND(#REF!,"AAAAAD6V2zo=")</f>
        <v>#REF!</v>
      </c>
      <c r="BH21" t="e">
        <f>AND(#REF!,"AAAAAD6V2zs=")</f>
        <v>#REF!</v>
      </c>
      <c r="BI21" t="e">
        <f>AND(#REF!,"AAAAAD6V2zw=")</f>
        <v>#REF!</v>
      </c>
      <c r="BJ21" t="e">
        <f>AND(#REF!,"AAAAAD6V2z0=")</f>
        <v>#REF!</v>
      </c>
      <c r="BK21" t="e">
        <f>AND(#REF!,"AAAAAD6V2z4=")</f>
        <v>#REF!</v>
      </c>
      <c r="BL21" t="e">
        <f>AND(#REF!,"AAAAAD6V2z8=")</f>
        <v>#REF!</v>
      </c>
      <c r="BM21" t="e">
        <f>AND(#REF!,"AAAAAD6V20A=")</f>
        <v>#REF!</v>
      </c>
      <c r="BN21" t="e">
        <f>AND(#REF!,"AAAAAD6V20E=")</f>
        <v>#REF!</v>
      </c>
      <c r="BO21" t="e">
        <f>AND(#REF!,"AAAAAD6V20I=")</f>
        <v>#REF!</v>
      </c>
      <c r="BP21" t="e">
        <f>AND(#REF!,"AAAAAD6V20M=")</f>
        <v>#REF!</v>
      </c>
      <c r="BQ21" t="e">
        <f>AND(#REF!,"AAAAAD6V20Q=")</f>
        <v>#REF!</v>
      </c>
      <c r="BR21" t="e">
        <f>AND(#REF!,"AAAAAD6V20U=")</f>
        <v>#REF!</v>
      </c>
      <c r="BS21" t="e">
        <f>AND(#REF!,"AAAAAD6V20Y=")</f>
        <v>#REF!</v>
      </c>
      <c r="BT21" t="e">
        <f>AND(#REF!,"AAAAAD6V20c=")</f>
        <v>#REF!</v>
      </c>
      <c r="BU21" t="e">
        <f>AND(#REF!,"AAAAAD6V20g=")</f>
        <v>#REF!</v>
      </c>
      <c r="BV21" t="e">
        <f>IF(#REF!,"AAAAAD6V20k=",0)</f>
        <v>#REF!</v>
      </c>
      <c r="BW21" t="e">
        <f>AND(#REF!,"AAAAAD6V20o=")</f>
        <v>#REF!</v>
      </c>
      <c r="BX21" t="e">
        <f>AND(#REF!,"AAAAAD6V20s=")</f>
        <v>#REF!</v>
      </c>
      <c r="BY21" t="e">
        <f>AND(#REF!,"AAAAAD6V20w=")</f>
        <v>#REF!</v>
      </c>
      <c r="BZ21" t="e">
        <f>AND(#REF!,"AAAAAD6V200=")</f>
        <v>#REF!</v>
      </c>
      <c r="CA21" t="e">
        <f>AND(#REF!,"AAAAAD6V204=")</f>
        <v>#REF!</v>
      </c>
      <c r="CB21" t="e">
        <f>AND(#REF!,"AAAAAD6V208=")</f>
        <v>#REF!</v>
      </c>
      <c r="CC21" t="e">
        <f>AND(#REF!,"AAAAAD6V21A=")</f>
        <v>#REF!</v>
      </c>
      <c r="CD21" t="e">
        <f>AND(#REF!,"AAAAAD6V21E=")</f>
        <v>#REF!</v>
      </c>
      <c r="CE21" t="e">
        <f>AND(#REF!,"AAAAAD6V21I=")</f>
        <v>#REF!</v>
      </c>
      <c r="CF21" t="e">
        <f>AND(#REF!,"AAAAAD6V21M=")</f>
        <v>#REF!</v>
      </c>
      <c r="CG21" t="e">
        <f>AND(#REF!,"AAAAAD6V21Q=")</f>
        <v>#REF!</v>
      </c>
      <c r="CH21" t="e">
        <f>AND(#REF!,"AAAAAD6V21U=")</f>
        <v>#REF!</v>
      </c>
      <c r="CI21" t="e">
        <f>AND(#REF!,"AAAAAD6V21Y=")</f>
        <v>#REF!</v>
      </c>
      <c r="CJ21" t="e">
        <f>AND(#REF!,"AAAAAD6V21c=")</f>
        <v>#REF!</v>
      </c>
      <c r="CK21" t="e">
        <f>AND(#REF!,"AAAAAD6V21g=")</f>
        <v>#REF!</v>
      </c>
      <c r="CL21" t="e">
        <f>AND(#REF!,"AAAAAD6V21k=")</f>
        <v>#REF!</v>
      </c>
      <c r="CM21" t="e">
        <f>AND(#REF!,"AAAAAD6V21o=")</f>
        <v>#REF!</v>
      </c>
      <c r="CN21" t="e">
        <f>AND(#REF!,"AAAAAD6V21s=")</f>
        <v>#REF!</v>
      </c>
      <c r="CO21" t="e">
        <f>IF(#REF!,"AAAAAD6V21w=",0)</f>
        <v>#REF!</v>
      </c>
      <c r="CP21" t="e">
        <f>AND(#REF!,"AAAAAD6V210=")</f>
        <v>#REF!</v>
      </c>
      <c r="CQ21" t="e">
        <f>AND(#REF!,"AAAAAD6V214=")</f>
        <v>#REF!</v>
      </c>
      <c r="CR21" t="e">
        <f>AND(#REF!,"AAAAAD6V218=")</f>
        <v>#REF!</v>
      </c>
      <c r="CS21" t="e">
        <f>AND(#REF!,"AAAAAD6V22A=")</f>
        <v>#REF!</v>
      </c>
      <c r="CT21" t="e">
        <f>AND(#REF!,"AAAAAD6V22E=")</f>
        <v>#REF!</v>
      </c>
      <c r="CU21" t="e">
        <f>AND(#REF!,"AAAAAD6V22I=")</f>
        <v>#REF!</v>
      </c>
      <c r="CV21" t="e">
        <f>AND(#REF!,"AAAAAD6V22M=")</f>
        <v>#REF!</v>
      </c>
      <c r="CW21" t="e">
        <f>AND(#REF!,"AAAAAD6V22Q=")</f>
        <v>#REF!</v>
      </c>
      <c r="CX21" t="e">
        <f>AND(#REF!,"AAAAAD6V22U=")</f>
        <v>#REF!</v>
      </c>
      <c r="CY21" t="e">
        <f>AND(#REF!,"AAAAAD6V22Y=")</f>
        <v>#REF!</v>
      </c>
      <c r="CZ21" t="e">
        <f>AND(#REF!,"AAAAAD6V22c=")</f>
        <v>#REF!</v>
      </c>
      <c r="DA21" t="e">
        <f>AND(#REF!,"AAAAAD6V22g=")</f>
        <v>#REF!</v>
      </c>
      <c r="DB21" t="e">
        <f>AND(#REF!,"AAAAAD6V22k=")</f>
        <v>#REF!</v>
      </c>
      <c r="DC21" t="e">
        <f>AND(#REF!,"AAAAAD6V22o=")</f>
        <v>#REF!</v>
      </c>
      <c r="DD21" t="e">
        <f>AND(#REF!,"AAAAAD6V22s=")</f>
        <v>#REF!</v>
      </c>
      <c r="DE21" t="e">
        <f>AND(#REF!,"AAAAAD6V22w=")</f>
        <v>#REF!</v>
      </c>
      <c r="DF21" t="e">
        <f>AND(#REF!,"AAAAAD6V220=")</f>
        <v>#REF!</v>
      </c>
      <c r="DG21" t="e">
        <f>AND(#REF!,"AAAAAD6V224=")</f>
        <v>#REF!</v>
      </c>
      <c r="DH21" t="e">
        <f>IF(#REF!,"AAAAAD6V228=",0)</f>
        <v>#REF!</v>
      </c>
      <c r="DI21" t="e">
        <f>AND(#REF!,"AAAAAD6V23A=")</f>
        <v>#REF!</v>
      </c>
      <c r="DJ21" t="e">
        <f>AND(#REF!,"AAAAAD6V23E=")</f>
        <v>#REF!</v>
      </c>
      <c r="DK21" t="e">
        <f>AND(#REF!,"AAAAAD6V23I=")</f>
        <v>#REF!</v>
      </c>
      <c r="DL21" t="e">
        <f>AND(#REF!,"AAAAAD6V23M=")</f>
        <v>#REF!</v>
      </c>
      <c r="DM21" t="e">
        <f>AND(#REF!,"AAAAAD6V23Q=")</f>
        <v>#REF!</v>
      </c>
      <c r="DN21" t="e">
        <f>AND(#REF!,"AAAAAD6V23U=")</f>
        <v>#REF!</v>
      </c>
      <c r="DO21" t="e">
        <f>AND(#REF!,"AAAAAD6V23Y=")</f>
        <v>#REF!</v>
      </c>
      <c r="DP21" t="e">
        <f>AND(#REF!,"AAAAAD6V23c=")</f>
        <v>#REF!</v>
      </c>
      <c r="DQ21" t="e">
        <f>AND(#REF!,"AAAAAD6V23g=")</f>
        <v>#REF!</v>
      </c>
      <c r="DR21" t="e">
        <f>AND(#REF!,"AAAAAD6V23k=")</f>
        <v>#REF!</v>
      </c>
      <c r="DS21" t="e">
        <f>AND(#REF!,"AAAAAD6V23o=")</f>
        <v>#REF!</v>
      </c>
      <c r="DT21" t="e">
        <f>AND(#REF!,"AAAAAD6V23s=")</f>
        <v>#REF!</v>
      </c>
      <c r="DU21" t="e">
        <f>AND(#REF!,"AAAAAD6V23w=")</f>
        <v>#REF!</v>
      </c>
      <c r="DV21" t="e">
        <f>AND(#REF!,"AAAAAD6V230=")</f>
        <v>#REF!</v>
      </c>
      <c r="DW21" t="e">
        <f>AND(#REF!,"AAAAAD6V234=")</f>
        <v>#REF!</v>
      </c>
      <c r="DX21" t="e">
        <f>AND(#REF!,"AAAAAD6V238=")</f>
        <v>#REF!</v>
      </c>
      <c r="DY21" t="e">
        <f>AND(#REF!,"AAAAAD6V24A=")</f>
        <v>#REF!</v>
      </c>
      <c r="DZ21" t="e">
        <f>AND(#REF!,"AAAAAD6V24E=")</f>
        <v>#REF!</v>
      </c>
      <c r="EA21" t="e">
        <f>IF(#REF!,"AAAAAD6V24I=",0)</f>
        <v>#REF!</v>
      </c>
      <c r="EB21" t="e">
        <f>AND(#REF!,"AAAAAD6V24M=")</f>
        <v>#REF!</v>
      </c>
      <c r="EC21" t="e">
        <f>AND(#REF!,"AAAAAD6V24Q=")</f>
        <v>#REF!</v>
      </c>
      <c r="ED21" t="e">
        <f>AND(#REF!,"AAAAAD6V24U=")</f>
        <v>#REF!</v>
      </c>
      <c r="EE21" t="e">
        <f>AND(#REF!,"AAAAAD6V24Y=")</f>
        <v>#REF!</v>
      </c>
      <c r="EF21" t="e">
        <f>AND(#REF!,"AAAAAD6V24c=")</f>
        <v>#REF!</v>
      </c>
      <c r="EG21" t="e">
        <f>AND(#REF!,"AAAAAD6V24g=")</f>
        <v>#REF!</v>
      </c>
      <c r="EH21" t="e">
        <f>AND(#REF!,"AAAAAD6V24k=")</f>
        <v>#REF!</v>
      </c>
      <c r="EI21" t="e">
        <f>AND(#REF!,"AAAAAD6V24o=")</f>
        <v>#REF!</v>
      </c>
      <c r="EJ21" t="e">
        <f>AND(#REF!,"AAAAAD6V24s=")</f>
        <v>#REF!</v>
      </c>
      <c r="EK21" t="e">
        <f>AND(#REF!,"AAAAAD6V24w=")</f>
        <v>#REF!</v>
      </c>
      <c r="EL21" t="e">
        <f>AND(#REF!,"AAAAAD6V240=")</f>
        <v>#REF!</v>
      </c>
      <c r="EM21" t="e">
        <f>AND(#REF!,"AAAAAD6V244=")</f>
        <v>#REF!</v>
      </c>
      <c r="EN21" t="e">
        <f>AND(#REF!,"AAAAAD6V248=")</f>
        <v>#REF!</v>
      </c>
      <c r="EO21" t="e">
        <f>AND(#REF!,"AAAAAD6V25A=")</f>
        <v>#REF!</v>
      </c>
      <c r="EP21" t="e">
        <f>AND(#REF!,"AAAAAD6V25E=")</f>
        <v>#REF!</v>
      </c>
      <c r="EQ21" t="e">
        <f>AND(#REF!,"AAAAAD6V25I=")</f>
        <v>#REF!</v>
      </c>
      <c r="ER21" t="e">
        <f>AND(#REF!,"AAAAAD6V25M=")</f>
        <v>#REF!</v>
      </c>
      <c r="ES21" t="e">
        <f>AND(#REF!,"AAAAAD6V25Q=")</f>
        <v>#REF!</v>
      </c>
      <c r="ET21" t="e">
        <f>IF(#REF!,"AAAAAD6V25U=",0)</f>
        <v>#REF!</v>
      </c>
      <c r="EU21" t="e">
        <f>AND(#REF!,"AAAAAD6V25Y=")</f>
        <v>#REF!</v>
      </c>
      <c r="EV21" t="e">
        <f>AND(#REF!,"AAAAAD6V25c=")</f>
        <v>#REF!</v>
      </c>
      <c r="EW21" t="e">
        <f>AND(#REF!,"AAAAAD6V25g=")</f>
        <v>#REF!</v>
      </c>
      <c r="EX21" t="e">
        <f>AND(#REF!,"AAAAAD6V25k=")</f>
        <v>#REF!</v>
      </c>
      <c r="EY21" t="e">
        <f>AND(#REF!,"AAAAAD6V25o=")</f>
        <v>#REF!</v>
      </c>
      <c r="EZ21" t="e">
        <f>AND(#REF!,"AAAAAD6V25s=")</f>
        <v>#REF!</v>
      </c>
      <c r="FA21" t="e">
        <f>AND(#REF!,"AAAAAD6V25w=")</f>
        <v>#REF!</v>
      </c>
      <c r="FB21" t="e">
        <f>AND(#REF!,"AAAAAD6V250=")</f>
        <v>#REF!</v>
      </c>
      <c r="FC21" t="e">
        <f>AND(#REF!,"AAAAAD6V254=")</f>
        <v>#REF!</v>
      </c>
      <c r="FD21" t="e">
        <f>AND(#REF!,"AAAAAD6V258=")</f>
        <v>#REF!</v>
      </c>
      <c r="FE21" t="e">
        <f>AND(#REF!,"AAAAAD6V26A=")</f>
        <v>#REF!</v>
      </c>
      <c r="FF21" t="e">
        <f>AND(#REF!,"AAAAAD6V26E=")</f>
        <v>#REF!</v>
      </c>
      <c r="FG21" t="e">
        <f>AND(#REF!,"AAAAAD6V26I=")</f>
        <v>#REF!</v>
      </c>
      <c r="FH21" t="e">
        <f>AND(#REF!,"AAAAAD6V26M=")</f>
        <v>#REF!</v>
      </c>
      <c r="FI21" t="e">
        <f>AND(#REF!,"AAAAAD6V26Q=")</f>
        <v>#REF!</v>
      </c>
      <c r="FJ21" t="e">
        <f>AND(#REF!,"AAAAAD6V26U=")</f>
        <v>#REF!</v>
      </c>
      <c r="FK21" t="e">
        <f>AND(#REF!,"AAAAAD6V26Y=")</f>
        <v>#REF!</v>
      </c>
      <c r="FL21" t="e">
        <f>AND(#REF!,"AAAAAD6V26c=")</f>
        <v>#REF!</v>
      </c>
      <c r="FM21" t="e">
        <f>IF(#REF!,"AAAAAD6V26g=",0)</f>
        <v>#REF!</v>
      </c>
      <c r="FN21" t="e">
        <f>AND(#REF!,"AAAAAD6V26k=")</f>
        <v>#REF!</v>
      </c>
      <c r="FO21" t="e">
        <f>AND(#REF!,"AAAAAD6V26o=")</f>
        <v>#REF!</v>
      </c>
      <c r="FP21" t="e">
        <f>AND(#REF!,"AAAAAD6V26s=")</f>
        <v>#REF!</v>
      </c>
      <c r="FQ21" t="e">
        <f>AND(#REF!,"AAAAAD6V26w=")</f>
        <v>#REF!</v>
      </c>
      <c r="FR21" t="e">
        <f>AND(#REF!,"AAAAAD6V260=")</f>
        <v>#REF!</v>
      </c>
      <c r="FS21" t="e">
        <f>AND(#REF!,"AAAAAD6V264=")</f>
        <v>#REF!</v>
      </c>
      <c r="FT21" t="e">
        <f>AND(#REF!,"AAAAAD6V268=")</f>
        <v>#REF!</v>
      </c>
      <c r="FU21" t="e">
        <f>AND(#REF!,"AAAAAD6V27A=")</f>
        <v>#REF!</v>
      </c>
      <c r="FV21" t="e">
        <f>AND(#REF!,"AAAAAD6V27E=")</f>
        <v>#REF!</v>
      </c>
      <c r="FW21" t="e">
        <f>AND(#REF!,"AAAAAD6V27I=")</f>
        <v>#REF!</v>
      </c>
      <c r="FX21" t="e">
        <f>AND(#REF!,"AAAAAD6V27M=")</f>
        <v>#REF!</v>
      </c>
      <c r="FY21" t="e">
        <f>AND(#REF!,"AAAAAD6V27Q=")</f>
        <v>#REF!</v>
      </c>
      <c r="FZ21" t="e">
        <f>AND(#REF!,"AAAAAD6V27U=")</f>
        <v>#REF!</v>
      </c>
      <c r="GA21" t="e">
        <f>AND(#REF!,"AAAAAD6V27Y=")</f>
        <v>#REF!</v>
      </c>
      <c r="GB21" t="e">
        <f>AND(#REF!,"AAAAAD6V27c=")</f>
        <v>#REF!</v>
      </c>
      <c r="GC21" t="e">
        <f>AND(#REF!,"AAAAAD6V27g=")</f>
        <v>#REF!</v>
      </c>
      <c r="GD21" t="e">
        <f>AND(#REF!,"AAAAAD6V27k=")</f>
        <v>#REF!</v>
      </c>
      <c r="GE21" t="e">
        <f>AND(#REF!,"AAAAAD6V27o=")</f>
        <v>#REF!</v>
      </c>
      <c r="GF21" t="e">
        <f>IF(#REF!,"AAAAAD6V27s=",0)</f>
        <v>#REF!</v>
      </c>
      <c r="GG21" t="e">
        <f>AND(#REF!,"AAAAAD6V27w=")</f>
        <v>#REF!</v>
      </c>
      <c r="GH21" t="e">
        <f>AND(#REF!,"AAAAAD6V270=")</f>
        <v>#REF!</v>
      </c>
      <c r="GI21" t="e">
        <f>AND(#REF!,"AAAAAD6V274=")</f>
        <v>#REF!</v>
      </c>
      <c r="GJ21" t="e">
        <f>AND(#REF!,"AAAAAD6V278=")</f>
        <v>#REF!</v>
      </c>
      <c r="GK21" t="e">
        <f>AND(#REF!,"AAAAAD6V28A=")</f>
        <v>#REF!</v>
      </c>
      <c r="GL21" t="e">
        <f>AND(#REF!,"AAAAAD6V28E=")</f>
        <v>#REF!</v>
      </c>
      <c r="GM21" t="e">
        <f>AND(#REF!,"AAAAAD6V28I=")</f>
        <v>#REF!</v>
      </c>
      <c r="GN21" t="e">
        <f>AND(#REF!,"AAAAAD6V28M=")</f>
        <v>#REF!</v>
      </c>
      <c r="GO21" t="e">
        <f>AND(#REF!,"AAAAAD6V28Q=")</f>
        <v>#REF!</v>
      </c>
      <c r="GP21" t="e">
        <f>AND(#REF!,"AAAAAD6V28U=")</f>
        <v>#REF!</v>
      </c>
      <c r="GQ21" t="e">
        <f>AND(#REF!,"AAAAAD6V28Y=")</f>
        <v>#REF!</v>
      </c>
      <c r="GR21" t="e">
        <f>AND(#REF!,"AAAAAD6V28c=")</f>
        <v>#REF!</v>
      </c>
      <c r="GS21" t="e">
        <f>AND(#REF!,"AAAAAD6V28g=")</f>
        <v>#REF!</v>
      </c>
      <c r="GT21" t="e">
        <f>AND(#REF!,"AAAAAD6V28k=")</f>
        <v>#REF!</v>
      </c>
      <c r="GU21" t="e">
        <f>AND(#REF!,"AAAAAD6V28o=")</f>
        <v>#REF!</v>
      </c>
      <c r="GV21" t="e">
        <f>AND(#REF!,"AAAAAD6V28s=")</f>
        <v>#REF!</v>
      </c>
      <c r="GW21" t="e">
        <f>AND(#REF!,"AAAAAD6V28w=")</f>
        <v>#REF!</v>
      </c>
      <c r="GX21" t="e">
        <f>AND(#REF!,"AAAAAD6V280=")</f>
        <v>#REF!</v>
      </c>
      <c r="GY21" t="e">
        <f>IF(#REF!,"AAAAAD6V284=",0)</f>
        <v>#REF!</v>
      </c>
      <c r="GZ21" t="e">
        <f>AND(#REF!,"AAAAAD6V288=")</f>
        <v>#REF!</v>
      </c>
      <c r="HA21" t="e">
        <f>AND(#REF!,"AAAAAD6V29A=")</f>
        <v>#REF!</v>
      </c>
      <c r="HB21" t="e">
        <f>AND(#REF!,"AAAAAD6V29E=")</f>
        <v>#REF!</v>
      </c>
      <c r="HC21" t="e">
        <f>AND(#REF!,"AAAAAD6V29I=")</f>
        <v>#REF!</v>
      </c>
      <c r="HD21" t="e">
        <f>AND(#REF!,"AAAAAD6V29M=")</f>
        <v>#REF!</v>
      </c>
      <c r="HE21" t="e">
        <f>AND(#REF!,"AAAAAD6V29Q=")</f>
        <v>#REF!</v>
      </c>
      <c r="HF21" t="e">
        <f>AND(#REF!,"AAAAAD6V29U=")</f>
        <v>#REF!</v>
      </c>
      <c r="HG21" t="e">
        <f>AND(#REF!,"AAAAAD6V29Y=")</f>
        <v>#REF!</v>
      </c>
      <c r="HH21" t="e">
        <f>AND(#REF!,"AAAAAD6V29c=")</f>
        <v>#REF!</v>
      </c>
      <c r="HI21" t="e">
        <f>AND(#REF!,"AAAAAD6V29g=")</f>
        <v>#REF!</v>
      </c>
      <c r="HJ21" t="e">
        <f>AND(#REF!,"AAAAAD6V29k=")</f>
        <v>#REF!</v>
      </c>
      <c r="HK21" t="e">
        <f>AND(#REF!,"AAAAAD6V29o=")</f>
        <v>#REF!</v>
      </c>
      <c r="HL21" t="e">
        <f>AND(#REF!,"AAAAAD6V29s=")</f>
        <v>#REF!</v>
      </c>
      <c r="HM21" t="e">
        <f>AND(#REF!,"AAAAAD6V29w=")</f>
        <v>#REF!</v>
      </c>
      <c r="HN21" t="e">
        <f>AND(#REF!,"AAAAAD6V290=")</f>
        <v>#REF!</v>
      </c>
      <c r="HO21" t="e">
        <f>AND(#REF!,"AAAAAD6V294=")</f>
        <v>#REF!</v>
      </c>
      <c r="HP21" t="e">
        <f>AND(#REF!,"AAAAAD6V298=")</f>
        <v>#REF!</v>
      </c>
      <c r="HQ21" t="e">
        <f>AND(#REF!,"AAAAAD6V2+A=")</f>
        <v>#REF!</v>
      </c>
      <c r="HR21" t="e">
        <f>IF(#REF!,"AAAAAD6V2+E=",0)</f>
        <v>#REF!</v>
      </c>
      <c r="HS21" t="e">
        <f>AND(#REF!,"AAAAAD6V2+I=")</f>
        <v>#REF!</v>
      </c>
      <c r="HT21" t="e">
        <f>AND(#REF!,"AAAAAD6V2+M=")</f>
        <v>#REF!</v>
      </c>
      <c r="HU21" t="e">
        <f>AND(#REF!,"AAAAAD6V2+Q=")</f>
        <v>#REF!</v>
      </c>
      <c r="HV21" t="e">
        <f>AND(#REF!,"AAAAAD6V2+U=")</f>
        <v>#REF!</v>
      </c>
      <c r="HW21" t="e">
        <f>AND(#REF!,"AAAAAD6V2+Y=")</f>
        <v>#REF!</v>
      </c>
      <c r="HX21" t="e">
        <f>AND(#REF!,"AAAAAD6V2+c=")</f>
        <v>#REF!</v>
      </c>
      <c r="HY21" t="e">
        <f>AND(#REF!,"AAAAAD6V2+g=")</f>
        <v>#REF!</v>
      </c>
      <c r="HZ21" t="e">
        <f>AND(#REF!,"AAAAAD6V2+k=")</f>
        <v>#REF!</v>
      </c>
      <c r="IA21" t="e">
        <f>AND(#REF!,"AAAAAD6V2+o=")</f>
        <v>#REF!</v>
      </c>
      <c r="IB21" t="e">
        <f>AND(#REF!,"AAAAAD6V2+s=")</f>
        <v>#REF!</v>
      </c>
      <c r="IC21" t="e">
        <f>AND(#REF!,"AAAAAD6V2+w=")</f>
        <v>#REF!</v>
      </c>
      <c r="ID21" t="e">
        <f>AND(#REF!,"AAAAAD6V2+0=")</f>
        <v>#REF!</v>
      </c>
      <c r="IE21" t="e">
        <f>AND(#REF!,"AAAAAD6V2+4=")</f>
        <v>#REF!</v>
      </c>
      <c r="IF21" t="e">
        <f>AND(#REF!,"AAAAAD6V2+8=")</f>
        <v>#REF!</v>
      </c>
      <c r="IG21" t="e">
        <f>AND(#REF!,"AAAAAD6V2/A=")</f>
        <v>#REF!</v>
      </c>
      <c r="IH21" t="e">
        <f>AND(#REF!,"AAAAAD6V2/E=")</f>
        <v>#REF!</v>
      </c>
      <c r="II21" t="e">
        <f>AND(#REF!,"AAAAAD6V2/I=")</f>
        <v>#REF!</v>
      </c>
      <c r="IJ21" t="e">
        <f>AND(#REF!,"AAAAAD6V2/M=")</f>
        <v>#REF!</v>
      </c>
      <c r="IK21" t="e">
        <f>IF(#REF!,"AAAAAD6V2/Q=",0)</f>
        <v>#REF!</v>
      </c>
      <c r="IL21" t="e">
        <f>AND(#REF!,"AAAAAD6V2/U=")</f>
        <v>#REF!</v>
      </c>
      <c r="IM21" t="e">
        <f>AND(#REF!,"AAAAAD6V2/Y=")</f>
        <v>#REF!</v>
      </c>
      <c r="IN21" t="e">
        <f>AND(#REF!,"AAAAAD6V2/c=")</f>
        <v>#REF!</v>
      </c>
      <c r="IO21" t="e">
        <f>AND(#REF!,"AAAAAD6V2/g=")</f>
        <v>#REF!</v>
      </c>
      <c r="IP21" t="e">
        <f>AND(#REF!,"AAAAAD6V2/k=")</f>
        <v>#REF!</v>
      </c>
      <c r="IQ21" t="e">
        <f>AND(#REF!,"AAAAAD6V2/o=")</f>
        <v>#REF!</v>
      </c>
      <c r="IR21" t="e">
        <f>AND(#REF!,"AAAAAD6V2/s=")</f>
        <v>#REF!</v>
      </c>
      <c r="IS21" t="e">
        <f>AND(#REF!,"AAAAAD6V2/w=")</f>
        <v>#REF!</v>
      </c>
      <c r="IT21" t="e">
        <f>AND(#REF!,"AAAAAD6V2/0=")</f>
        <v>#REF!</v>
      </c>
      <c r="IU21" t="e">
        <f>AND(#REF!,"AAAAAD6V2/4=")</f>
        <v>#REF!</v>
      </c>
      <c r="IV21" t="e">
        <f>AND(#REF!,"AAAAAD6V2/8=")</f>
        <v>#REF!</v>
      </c>
    </row>
    <row r="22" spans="1:256" ht="12.75">
      <c r="A22" t="e">
        <f>AND(#REF!,"AAAAAH7/zAA=")</f>
        <v>#REF!</v>
      </c>
      <c r="B22" t="e">
        <f>AND(#REF!,"AAAAAH7/zAE=")</f>
        <v>#REF!</v>
      </c>
      <c r="C22" t="e">
        <f>AND(#REF!,"AAAAAH7/zAI=")</f>
        <v>#REF!</v>
      </c>
      <c r="D22" t="e">
        <f>AND(#REF!,"AAAAAH7/zAM=")</f>
        <v>#REF!</v>
      </c>
      <c r="E22" t="e">
        <f>AND(#REF!,"AAAAAH7/zAQ=")</f>
        <v>#REF!</v>
      </c>
      <c r="F22" t="e">
        <f>AND(#REF!,"AAAAAH7/zAU=")</f>
        <v>#REF!</v>
      </c>
      <c r="G22" t="e">
        <f>AND(#REF!,"AAAAAH7/zAY=")</f>
        <v>#REF!</v>
      </c>
      <c r="H22" t="e">
        <f>IF(#REF!,"AAAAAH7/zAc=",0)</f>
        <v>#REF!</v>
      </c>
      <c r="I22" t="e">
        <f>AND(#REF!,"AAAAAH7/zAg=")</f>
        <v>#REF!</v>
      </c>
      <c r="J22" t="e">
        <f>AND(#REF!,"AAAAAH7/zAk=")</f>
        <v>#REF!</v>
      </c>
      <c r="K22" t="e">
        <f>AND(#REF!,"AAAAAH7/zAo=")</f>
        <v>#REF!</v>
      </c>
      <c r="L22" t="e">
        <f>AND(#REF!,"AAAAAH7/zAs=")</f>
        <v>#REF!</v>
      </c>
      <c r="M22" t="e">
        <f>AND(#REF!,"AAAAAH7/zAw=")</f>
        <v>#REF!</v>
      </c>
      <c r="N22" t="e">
        <f>AND(#REF!,"AAAAAH7/zA0=")</f>
        <v>#REF!</v>
      </c>
      <c r="O22" t="e">
        <f>AND(#REF!,"AAAAAH7/zA4=")</f>
        <v>#REF!</v>
      </c>
      <c r="P22" t="e">
        <f>AND(#REF!,"AAAAAH7/zA8=")</f>
        <v>#REF!</v>
      </c>
      <c r="Q22" t="e">
        <f>AND(#REF!,"AAAAAH7/zBA=")</f>
        <v>#REF!</v>
      </c>
      <c r="R22" t="e">
        <f>AND(#REF!,"AAAAAH7/zBE=")</f>
        <v>#REF!</v>
      </c>
      <c r="S22" t="e">
        <f>AND(#REF!,"AAAAAH7/zBI=")</f>
        <v>#REF!</v>
      </c>
      <c r="T22" t="e">
        <f>AND(#REF!,"AAAAAH7/zBM=")</f>
        <v>#REF!</v>
      </c>
      <c r="U22" t="e">
        <f>AND(#REF!,"AAAAAH7/zBQ=")</f>
        <v>#REF!</v>
      </c>
      <c r="V22" t="e">
        <f>AND(#REF!,"AAAAAH7/zBU=")</f>
        <v>#REF!</v>
      </c>
      <c r="W22" t="e">
        <f>AND(#REF!,"AAAAAH7/zBY=")</f>
        <v>#REF!</v>
      </c>
      <c r="X22" t="e">
        <f>AND(#REF!,"AAAAAH7/zBc=")</f>
        <v>#REF!</v>
      </c>
      <c r="Y22" t="e">
        <f>AND(#REF!,"AAAAAH7/zBg=")</f>
        <v>#REF!</v>
      </c>
      <c r="Z22" t="e">
        <f>AND(#REF!,"AAAAAH7/zBk=")</f>
        <v>#REF!</v>
      </c>
      <c r="AA22" t="e">
        <f>IF(#REF!,"AAAAAH7/zBo=",0)</f>
        <v>#REF!</v>
      </c>
      <c r="AB22" t="e">
        <f>AND(#REF!,"AAAAAH7/zBs=")</f>
        <v>#REF!</v>
      </c>
      <c r="AC22" t="e">
        <f>AND(#REF!,"AAAAAH7/zBw=")</f>
        <v>#REF!</v>
      </c>
      <c r="AD22" t="e">
        <f>AND(#REF!,"AAAAAH7/zB0=")</f>
        <v>#REF!</v>
      </c>
      <c r="AE22" t="e">
        <f>AND(#REF!,"AAAAAH7/zB4=")</f>
        <v>#REF!</v>
      </c>
      <c r="AF22" t="e">
        <f>AND(#REF!,"AAAAAH7/zB8=")</f>
        <v>#REF!</v>
      </c>
      <c r="AG22" t="e">
        <f>AND(#REF!,"AAAAAH7/zCA=")</f>
        <v>#REF!</v>
      </c>
      <c r="AH22" t="e">
        <f>AND(#REF!,"AAAAAH7/zCE=")</f>
        <v>#REF!</v>
      </c>
      <c r="AI22" t="e">
        <f>AND(#REF!,"AAAAAH7/zCI=")</f>
        <v>#REF!</v>
      </c>
      <c r="AJ22" t="e">
        <f>AND(#REF!,"AAAAAH7/zCM=")</f>
        <v>#REF!</v>
      </c>
      <c r="AK22" t="e">
        <f>AND(#REF!,"AAAAAH7/zCQ=")</f>
        <v>#REF!</v>
      </c>
      <c r="AL22" t="e">
        <f>AND(#REF!,"AAAAAH7/zCU=")</f>
        <v>#REF!</v>
      </c>
      <c r="AM22" t="e">
        <f>AND(#REF!,"AAAAAH7/zCY=")</f>
        <v>#REF!</v>
      </c>
      <c r="AN22" t="e">
        <f>AND(#REF!,"AAAAAH7/zCc=")</f>
        <v>#REF!</v>
      </c>
      <c r="AO22" t="e">
        <f>AND(#REF!,"AAAAAH7/zCg=")</f>
        <v>#REF!</v>
      </c>
      <c r="AP22" t="e">
        <f>AND(#REF!,"AAAAAH7/zCk=")</f>
        <v>#REF!</v>
      </c>
      <c r="AQ22" t="e">
        <f>AND(#REF!,"AAAAAH7/zCo=")</f>
        <v>#REF!</v>
      </c>
      <c r="AR22" t="e">
        <f>AND(#REF!,"AAAAAH7/zCs=")</f>
        <v>#REF!</v>
      </c>
      <c r="AS22" t="e">
        <f>AND(#REF!,"AAAAAH7/zCw=")</f>
        <v>#REF!</v>
      </c>
      <c r="AT22" t="e">
        <f>IF(#REF!,"AAAAAH7/zC0=",0)</f>
        <v>#REF!</v>
      </c>
      <c r="AU22" t="e">
        <f>AND(#REF!,"AAAAAH7/zC4=")</f>
        <v>#REF!</v>
      </c>
      <c r="AV22" t="e">
        <f>AND(#REF!,"AAAAAH7/zC8=")</f>
        <v>#REF!</v>
      </c>
      <c r="AW22" t="e">
        <f>AND(#REF!,"AAAAAH7/zDA=")</f>
        <v>#REF!</v>
      </c>
      <c r="AX22" t="e">
        <f>AND(#REF!,"AAAAAH7/zDE=")</f>
        <v>#REF!</v>
      </c>
      <c r="AY22" t="e">
        <f>AND(#REF!,"AAAAAH7/zDI=")</f>
        <v>#REF!</v>
      </c>
      <c r="AZ22" t="e">
        <f>AND(#REF!,"AAAAAH7/zDM=")</f>
        <v>#REF!</v>
      </c>
      <c r="BA22" t="e">
        <f>AND(#REF!,"AAAAAH7/zDQ=")</f>
        <v>#REF!</v>
      </c>
      <c r="BB22" t="e">
        <f>AND(#REF!,"AAAAAH7/zDU=")</f>
        <v>#REF!</v>
      </c>
      <c r="BC22" t="e">
        <f>AND(#REF!,"AAAAAH7/zDY=")</f>
        <v>#REF!</v>
      </c>
      <c r="BD22" t="e">
        <f>AND(#REF!,"AAAAAH7/zDc=")</f>
        <v>#REF!</v>
      </c>
      <c r="BE22" t="e">
        <f>AND(#REF!,"AAAAAH7/zDg=")</f>
        <v>#REF!</v>
      </c>
      <c r="BF22" t="e">
        <f>AND(#REF!,"AAAAAH7/zDk=")</f>
        <v>#REF!</v>
      </c>
      <c r="BG22" t="e">
        <f>AND(#REF!,"AAAAAH7/zDo=")</f>
        <v>#REF!</v>
      </c>
      <c r="BH22" t="e">
        <f>AND(#REF!,"AAAAAH7/zDs=")</f>
        <v>#REF!</v>
      </c>
      <c r="BI22" t="e">
        <f>AND(#REF!,"AAAAAH7/zDw=")</f>
        <v>#REF!</v>
      </c>
      <c r="BJ22" t="e">
        <f>AND(#REF!,"AAAAAH7/zD0=")</f>
        <v>#REF!</v>
      </c>
      <c r="BK22" t="e">
        <f>AND(#REF!,"AAAAAH7/zD4=")</f>
        <v>#REF!</v>
      </c>
      <c r="BL22" t="e">
        <f>AND(#REF!,"AAAAAH7/zD8=")</f>
        <v>#REF!</v>
      </c>
      <c r="BM22" t="e">
        <f>IF(#REF!,"AAAAAH7/zEA=",0)</f>
        <v>#REF!</v>
      </c>
      <c r="BN22" t="e">
        <f>IF(#REF!,"AAAAAH7/zEE=",0)</f>
        <v>#REF!</v>
      </c>
      <c r="BO22" t="e">
        <f>IF(#REF!,"AAAAAH7/zEI=",0)</f>
        <v>#REF!</v>
      </c>
      <c r="BP22" t="e">
        <f>IF(#REF!,"AAAAAH7/zEM=",0)</f>
        <v>#REF!</v>
      </c>
      <c r="BQ22" t="e">
        <f>IF(#REF!,"AAAAAH7/zEQ=",0)</f>
        <v>#REF!</v>
      </c>
      <c r="BR22" t="e">
        <f>IF(#REF!,"AAAAAH7/zEU=",0)</f>
        <v>#REF!</v>
      </c>
      <c r="BS22" t="e">
        <f>IF(#REF!,"AAAAAH7/zEY=",0)</f>
        <v>#REF!</v>
      </c>
      <c r="BT22" t="e">
        <f>IF(#REF!,"AAAAAH7/zEc=",0)</f>
        <v>#REF!</v>
      </c>
      <c r="BU22" t="e">
        <f>IF(#REF!,"AAAAAH7/zEg=",0)</f>
        <v>#REF!</v>
      </c>
      <c r="BV22" t="e">
        <f>IF(#REF!,"AAAAAH7/zEk=",0)</f>
        <v>#REF!</v>
      </c>
      <c r="BW22" t="e">
        <f>IF(#REF!,"AAAAAH7/zEo=",0)</f>
        <v>#REF!</v>
      </c>
      <c r="BX22" t="e">
        <f>IF(#REF!,"AAAAAH7/zEs=",0)</f>
        <v>#REF!</v>
      </c>
      <c r="BY22" t="e">
        <f>IF(#REF!,"AAAAAH7/zEw=",0)</f>
        <v>#REF!</v>
      </c>
      <c r="BZ22" t="e">
        <f>IF(#REF!,"AAAAAH7/zE0=",0)</f>
        <v>#REF!</v>
      </c>
      <c r="CA22" t="e">
        <f>IF(#REF!,"AAAAAH7/zE4=",0)</f>
        <v>#REF!</v>
      </c>
      <c r="CB22" t="e">
        <f>IF(#REF!,"AAAAAH7/zE8=",0)</f>
        <v>#REF!</v>
      </c>
      <c r="CC22" t="e">
        <f>IF(#REF!,"AAAAAH7/zFA=",0)</f>
        <v>#REF!</v>
      </c>
      <c r="CD22" t="e">
        <f>IF(#REF!,"AAAAAH7/zFE=",0)</f>
        <v>#REF!</v>
      </c>
      <c r="CE22" t="e">
        <f>IF(#REF!,"AAAAAH7/zFI=",0)</f>
        <v>#REF!</v>
      </c>
      <c r="CF22" t="e">
        <f>IF(#REF!,"AAAAAH7/zFM=",0)</f>
        <v>#REF!</v>
      </c>
      <c r="CG22" t="e">
        <f>IF(#REF!,"AAAAAH7/zFQ=",0)</f>
        <v>#REF!</v>
      </c>
      <c r="CH22" t="e">
        <f>IF(#REF!,"AAAAAH7/zFU=",0)</f>
        <v>#REF!</v>
      </c>
      <c r="CI22" t="e">
        <f>IF(#REF!,"AAAAAH7/zFY=",0)</f>
        <v>#REF!</v>
      </c>
      <c r="CJ22" t="e">
        <f>AND(#REF!,"AAAAAH7/zFc=")</f>
        <v>#REF!</v>
      </c>
      <c r="CK22" t="e">
        <f>AND(#REF!,"AAAAAH7/zFg=")</f>
        <v>#REF!</v>
      </c>
      <c r="CL22" t="e">
        <f>AND(#REF!,"AAAAAH7/zFk=")</f>
        <v>#REF!</v>
      </c>
      <c r="CM22" t="e">
        <f>AND(#REF!,"AAAAAH7/zFo=")</f>
        <v>#REF!</v>
      </c>
      <c r="CN22" t="e">
        <f>AND(#REF!,"AAAAAH7/zFs=")</f>
        <v>#REF!</v>
      </c>
      <c r="CO22" t="e">
        <f>AND(#REF!,"AAAAAH7/zFw=")</f>
        <v>#REF!</v>
      </c>
      <c r="CP22" t="e">
        <f>AND(#REF!,"AAAAAH7/zF0=")</f>
        <v>#REF!</v>
      </c>
      <c r="CQ22" t="e">
        <f>AND(#REF!,"AAAAAH7/zF4=")</f>
        <v>#REF!</v>
      </c>
      <c r="CR22" t="e">
        <f>AND(#REF!,"AAAAAH7/zF8=")</f>
        <v>#REF!</v>
      </c>
      <c r="CS22" t="e">
        <f>IF(#REF!,"AAAAAH7/zGA=",0)</f>
        <v>#REF!</v>
      </c>
      <c r="CT22" t="e">
        <f>AND(#REF!,"AAAAAH7/zGE=")</f>
        <v>#REF!</v>
      </c>
      <c r="CU22" t="e">
        <f>AND(#REF!,"AAAAAH7/zGI=")</f>
        <v>#REF!</v>
      </c>
      <c r="CV22" t="e">
        <f>AND(#REF!,"AAAAAH7/zGM=")</f>
        <v>#REF!</v>
      </c>
      <c r="CW22" t="e">
        <f>AND(#REF!,"AAAAAH7/zGQ=")</f>
        <v>#REF!</v>
      </c>
      <c r="CX22" t="e">
        <f>AND(#REF!,"AAAAAH7/zGU=")</f>
        <v>#REF!</v>
      </c>
      <c r="CY22" t="e">
        <f>AND(#REF!,"AAAAAH7/zGY=")</f>
        <v>#REF!</v>
      </c>
      <c r="CZ22" t="e">
        <f>AND(#REF!,"AAAAAH7/zGc=")</f>
        <v>#REF!</v>
      </c>
      <c r="DA22" t="e">
        <f>AND(#REF!,"AAAAAH7/zGg=")</f>
        <v>#REF!</v>
      </c>
      <c r="DB22" t="e">
        <f>AND(#REF!,"AAAAAH7/zGk=")</f>
        <v>#REF!</v>
      </c>
      <c r="DC22" t="e">
        <f>IF(#REF!,"AAAAAH7/zGo=",0)</f>
        <v>#REF!</v>
      </c>
      <c r="DD22" t="e">
        <f>AND(#REF!,"AAAAAH7/zGs=")</f>
        <v>#REF!</v>
      </c>
      <c r="DE22" t="e">
        <f>AND(#REF!,"AAAAAH7/zGw=")</f>
        <v>#REF!</v>
      </c>
      <c r="DF22" t="e">
        <f>AND(#REF!,"AAAAAH7/zG0=")</f>
        <v>#REF!</v>
      </c>
      <c r="DG22" t="e">
        <f>AND(#REF!,"AAAAAH7/zG4=")</f>
        <v>#REF!</v>
      </c>
      <c r="DH22" t="e">
        <f>AND(#REF!,"AAAAAH7/zG8=")</f>
        <v>#REF!</v>
      </c>
      <c r="DI22" t="e">
        <f>AND(#REF!,"AAAAAH7/zHA=")</f>
        <v>#REF!</v>
      </c>
      <c r="DJ22" t="e">
        <f>AND(#REF!,"AAAAAH7/zHE=")</f>
        <v>#REF!</v>
      </c>
      <c r="DK22" t="e">
        <f>AND(#REF!,"AAAAAH7/zHI=")</f>
        <v>#REF!</v>
      </c>
      <c r="DL22" t="e">
        <f>AND(#REF!,"AAAAAH7/zHM=")</f>
        <v>#REF!</v>
      </c>
      <c r="DM22" t="e">
        <f>IF(#REF!,"AAAAAH7/zHQ=",0)</f>
        <v>#REF!</v>
      </c>
      <c r="DN22" t="e">
        <f>AND(#REF!,"AAAAAH7/zHU=")</f>
        <v>#REF!</v>
      </c>
      <c r="DO22" t="e">
        <f>AND(#REF!,"AAAAAH7/zHY=")</f>
        <v>#REF!</v>
      </c>
      <c r="DP22" t="e">
        <f>AND(#REF!,"AAAAAH7/zHc=")</f>
        <v>#REF!</v>
      </c>
      <c r="DQ22" t="e">
        <f>AND(#REF!,"AAAAAH7/zHg=")</f>
        <v>#REF!</v>
      </c>
      <c r="DR22" t="e">
        <f>AND(#REF!,"AAAAAH7/zHk=")</f>
        <v>#REF!</v>
      </c>
      <c r="DS22" t="e">
        <f>AND(#REF!,"AAAAAH7/zHo=")</f>
        <v>#REF!</v>
      </c>
      <c r="DT22" t="e">
        <f>AND(#REF!,"AAAAAH7/zHs=")</f>
        <v>#REF!</v>
      </c>
      <c r="DU22" t="e">
        <f>AND(#REF!,"AAAAAH7/zHw=")</f>
        <v>#REF!</v>
      </c>
      <c r="DV22" t="e">
        <f>AND(#REF!,"AAAAAH7/zH0=")</f>
        <v>#REF!</v>
      </c>
      <c r="DW22" t="e">
        <f>IF(#REF!,"AAAAAH7/zH4=",0)</f>
        <v>#REF!</v>
      </c>
      <c r="DX22" t="e">
        <f>AND(#REF!,"AAAAAH7/zH8=")</f>
        <v>#REF!</v>
      </c>
      <c r="DY22" t="e">
        <f>AND(#REF!,"AAAAAH7/zIA=")</f>
        <v>#REF!</v>
      </c>
      <c r="DZ22" t="e">
        <f>AND(#REF!,"AAAAAH7/zIE=")</f>
        <v>#REF!</v>
      </c>
      <c r="EA22" t="e">
        <f>AND(#REF!,"AAAAAH7/zII=")</f>
        <v>#REF!</v>
      </c>
      <c r="EB22" t="e">
        <f>AND(#REF!,"AAAAAH7/zIM=")</f>
        <v>#REF!</v>
      </c>
      <c r="EC22" t="e">
        <f>AND(#REF!,"AAAAAH7/zIQ=")</f>
        <v>#REF!</v>
      </c>
      <c r="ED22" t="e">
        <f>AND(#REF!,"AAAAAH7/zIU=")</f>
        <v>#REF!</v>
      </c>
      <c r="EE22" t="e">
        <f>AND(#REF!,"AAAAAH7/zIY=")</f>
        <v>#REF!</v>
      </c>
      <c r="EF22" t="e">
        <f>AND(#REF!,"AAAAAH7/zIc=")</f>
        <v>#REF!</v>
      </c>
      <c r="EG22" t="e">
        <f>IF(#REF!,"AAAAAH7/zIg=",0)</f>
        <v>#REF!</v>
      </c>
      <c r="EH22" t="e">
        <f>AND(#REF!,"AAAAAH7/zIk=")</f>
        <v>#REF!</v>
      </c>
      <c r="EI22" t="e">
        <f>AND(#REF!,"AAAAAH7/zIo=")</f>
        <v>#REF!</v>
      </c>
      <c r="EJ22" t="e">
        <f>AND(#REF!,"AAAAAH7/zIs=")</f>
        <v>#REF!</v>
      </c>
      <c r="EK22" t="e">
        <f>AND(#REF!,"AAAAAH7/zIw=")</f>
        <v>#REF!</v>
      </c>
      <c r="EL22" t="e">
        <f>AND(#REF!,"AAAAAH7/zI0=")</f>
        <v>#REF!</v>
      </c>
      <c r="EM22" t="e">
        <f>AND(#REF!,"AAAAAH7/zI4=")</f>
        <v>#REF!</v>
      </c>
      <c r="EN22" t="e">
        <f>AND(#REF!,"AAAAAH7/zI8=")</f>
        <v>#REF!</v>
      </c>
      <c r="EO22" t="e">
        <f>AND(#REF!,"AAAAAH7/zJA=")</f>
        <v>#REF!</v>
      </c>
      <c r="EP22" t="e">
        <f>AND(#REF!,"AAAAAH7/zJE=")</f>
        <v>#REF!</v>
      </c>
      <c r="EQ22" t="e">
        <f>IF(#REF!,"AAAAAH7/zJI=",0)</f>
        <v>#REF!</v>
      </c>
      <c r="ER22" t="e">
        <f>AND(#REF!,"AAAAAH7/zJM=")</f>
        <v>#REF!</v>
      </c>
      <c r="ES22" t="e">
        <f>AND(#REF!,"AAAAAH7/zJQ=")</f>
        <v>#REF!</v>
      </c>
      <c r="ET22" t="e">
        <f>AND(#REF!,"AAAAAH7/zJU=")</f>
        <v>#REF!</v>
      </c>
      <c r="EU22" t="e">
        <f>AND(#REF!,"AAAAAH7/zJY=")</f>
        <v>#REF!</v>
      </c>
      <c r="EV22" t="e">
        <f>AND(#REF!,"AAAAAH7/zJc=")</f>
        <v>#REF!</v>
      </c>
      <c r="EW22" t="e">
        <f>AND(#REF!,"AAAAAH7/zJg=")</f>
        <v>#REF!</v>
      </c>
      <c r="EX22" t="e">
        <f>AND(#REF!,"AAAAAH7/zJk=")</f>
        <v>#REF!</v>
      </c>
      <c r="EY22" t="e">
        <f>AND(#REF!,"AAAAAH7/zJo=")</f>
        <v>#REF!</v>
      </c>
      <c r="EZ22" t="e">
        <f>AND(#REF!,"AAAAAH7/zJs=")</f>
        <v>#REF!</v>
      </c>
      <c r="FA22" t="e">
        <f>IF(#REF!,"AAAAAH7/zJw=",0)</f>
        <v>#REF!</v>
      </c>
      <c r="FB22" t="e">
        <f>AND(#REF!,"AAAAAH7/zJ0=")</f>
        <v>#REF!</v>
      </c>
      <c r="FC22" t="e">
        <f>AND(#REF!,"AAAAAH7/zJ4=")</f>
        <v>#REF!</v>
      </c>
      <c r="FD22" t="e">
        <f>AND(#REF!,"AAAAAH7/zJ8=")</f>
        <v>#REF!</v>
      </c>
      <c r="FE22" t="e">
        <f>AND(#REF!,"AAAAAH7/zKA=")</f>
        <v>#REF!</v>
      </c>
      <c r="FF22" t="e">
        <f>AND(#REF!,"AAAAAH7/zKE=")</f>
        <v>#REF!</v>
      </c>
      <c r="FG22" t="e">
        <f>AND(#REF!,"AAAAAH7/zKI=")</f>
        <v>#REF!</v>
      </c>
      <c r="FH22" t="e">
        <f>AND(#REF!,"AAAAAH7/zKM=")</f>
        <v>#REF!</v>
      </c>
      <c r="FI22" t="e">
        <f>AND(#REF!,"AAAAAH7/zKQ=")</f>
        <v>#REF!</v>
      </c>
      <c r="FJ22" t="e">
        <f>AND(#REF!,"AAAAAH7/zKU=")</f>
        <v>#REF!</v>
      </c>
      <c r="FK22" t="e">
        <f>IF(#REF!,"AAAAAH7/zKY=",0)</f>
        <v>#REF!</v>
      </c>
      <c r="FL22" t="e">
        <f>AND(#REF!,"AAAAAH7/zKc=")</f>
        <v>#REF!</v>
      </c>
      <c r="FM22" t="e">
        <f>AND(#REF!,"AAAAAH7/zKg=")</f>
        <v>#REF!</v>
      </c>
      <c r="FN22" t="e">
        <f>AND(#REF!,"AAAAAH7/zKk=")</f>
        <v>#REF!</v>
      </c>
      <c r="FO22" t="e">
        <f>AND(#REF!,"AAAAAH7/zKo=")</f>
        <v>#REF!</v>
      </c>
      <c r="FP22" t="e">
        <f>AND(#REF!,"AAAAAH7/zKs=")</f>
        <v>#REF!</v>
      </c>
      <c r="FQ22" t="e">
        <f>AND(#REF!,"AAAAAH7/zKw=")</f>
        <v>#REF!</v>
      </c>
      <c r="FR22" t="e">
        <f>AND(#REF!,"AAAAAH7/zK0=")</f>
        <v>#REF!</v>
      </c>
      <c r="FS22" t="e">
        <f>AND(#REF!,"AAAAAH7/zK4=")</f>
        <v>#REF!</v>
      </c>
      <c r="FT22" t="e">
        <f>AND(#REF!,"AAAAAH7/zK8=")</f>
        <v>#REF!</v>
      </c>
      <c r="FU22" t="e">
        <f>IF(#REF!,"AAAAAH7/zLA=",0)</f>
        <v>#REF!</v>
      </c>
      <c r="FV22" t="e">
        <f>AND(#REF!,"AAAAAH7/zLE=")</f>
        <v>#REF!</v>
      </c>
      <c r="FW22" t="e">
        <f>AND(#REF!,"AAAAAH7/zLI=")</f>
        <v>#REF!</v>
      </c>
      <c r="FX22" t="e">
        <f>AND(#REF!,"AAAAAH7/zLM=")</f>
        <v>#REF!</v>
      </c>
      <c r="FY22" t="e">
        <f>AND(#REF!,"AAAAAH7/zLQ=")</f>
        <v>#REF!</v>
      </c>
      <c r="FZ22" t="e">
        <f>AND(#REF!,"AAAAAH7/zLU=")</f>
        <v>#REF!</v>
      </c>
      <c r="GA22" t="e">
        <f>AND(#REF!,"AAAAAH7/zLY=")</f>
        <v>#REF!</v>
      </c>
      <c r="GB22" t="e">
        <f>AND(#REF!,"AAAAAH7/zLc=")</f>
        <v>#REF!</v>
      </c>
      <c r="GC22" t="e">
        <f>AND(#REF!,"AAAAAH7/zLg=")</f>
        <v>#REF!</v>
      </c>
      <c r="GD22" t="e">
        <f>AND(#REF!,"AAAAAH7/zLk=")</f>
        <v>#REF!</v>
      </c>
      <c r="GE22" t="e">
        <f>IF(#REF!,"AAAAAH7/zLo=",0)</f>
        <v>#REF!</v>
      </c>
      <c r="GF22" t="e">
        <f>AND(#REF!,"AAAAAH7/zLs=")</f>
        <v>#REF!</v>
      </c>
      <c r="GG22" t="e">
        <f>AND(#REF!,"AAAAAH7/zLw=")</f>
        <v>#REF!</v>
      </c>
      <c r="GH22" t="e">
        <f>AND(#REF!,"AAAAAH7/zL0=")</f>
        <v>#REF!</v>
      </c>
      <c r="GI22" t="e">
        <f>AND(#REF!,"AAAAAH7/zL4=")</f>
        <v>#REF!</v>
      </c>
      <c r="GJ22" t="e">
        <f>AND(#REF!,"AAAAAH7/zL8=")</f>
        <v>#REF!</v>
      </c>
      <c r="GK22" t="e">
        <f>AND(#REF!,"AAAAAH7/zMA=")</f>
        <v>#REF!</v>
      </c>
      <c r="GL22" t="e">
        <f>AND(#REF!,"AAAAAH7/zME=")</f>
        <v>#REF!</v>
      </c>
      <c r="GM22" t="e">
        <f>AND(#REF!,"AAAAAH7/zMI=")</f>
        <v>#REF!</v>
      </c>
      <c r="GN22" t="e">
        <f>AND(#REF!,"AAAAAH7/zMM=")</f>
        <v>#REF!</v>
      </c>
      <c r="GO22" t="e">
        <f>IF(#REF!,"AAAAAH7/zMQ=",0)</f>
        <v>#REF!</v>
      </c>
      <c r="GP22" t="e">
        <f>AND(#REF!,"AAAAAH7/zMU=")</f>
        <v>#REF!</v>
      </c>
      <c r="GQ22" t="e">
        <f>AND(#REF!,"AAAAAH7/zMY=")</f>
        <v>#REF!</v>
      </c>
      <c r="GR22" t="e">
        <f>AND(#REF!,"AAAAAH7/zMc=")</f>
        <v>#REF!</v>
      </c>
      <c r="GS22" t="e">
        <f>AND(#REF!,"AAAAAH7/zMg=")</f>
        <v>#REF!</v>
      </c>
      <c r="GT22" t="e">
        <f>AND(#REF!,"AAAAAH7/zMk=")</f>
        <v>#REF!</v>
      </c>
      <c r="GU22" t="e">
        <f>AND(#REF!,"AAAAAH7/zMo=")</f>
        <v>#REF!</v>
      </c>
      <c r="GV22" t="e">
        <f>AND(#REF!,"AAAAAH7/zMs=")</f>
        <v>#REF!</v>
      </c>
      <c r="GW22" t="e">
        <f>AND(#REF!,"AAAAAH7/zMw=")</f>
        <v>#REF!</v>
      </c>
      <c r="GX22" t="e">
        <f>AND(#REF!,"AAAAAH7/zM0=")</f>
        <v>#REF!</v>
      </c>
      <c r="GY22" t="e">
        <f>IF(#REF!,"AAAAAH7/zM4=",0)</f>
        <v>#REF!</v>
      </c>
      <c r="GZ22" t="e">
        <f>AND(#REF!,"AAAAAH7/zM8=")</f>
        <v>#REF!</v>
      </c>
      <c r="HA22" t="e">
        <f>AND(#REF!,"AAAAAH7/zNA=")</f>
        <v>#REF!</v>
      </c>
      <c r="HB22" t="e">
        <f>AND(#REF!,"AAAAAH7/zNE=")</f>
        <v>#REF!</v>
      </c>
      <c r="HC22" t="e">
        <f>AND(#REF!,"AAAAAH7/zNI=")</f>
        <v>#REF!</v>
      </c>
      <c r="HD22" t="e">
        <f>AND(#REF!,"AAAAAH7/zNM=")</f>
        <v>#REF!</v>
      </c>
      <c r="HE22" t="e">
        <f>AND(#REF!,"AAAAAH7/zNQ=")</f>
        <v>#REF!</v>
      </c>
      <c r="HF22" t="e">
        <f>AND(#REF!,"AAAAAH7/zNU=")</f>
        <v>#REF!</v>
      </c>
      <c r="HG22" t="e">
        <f>AND(#REF!,"AAAAAH7/zNY=")</f>
        <v>#REF!</v>
      </c>
      <c r="HH22" t="e">
        <f>AND(#REF!,"AAAAAH7/zNc=")</f>
        <v>#REF!</v>
      </c>
      <c r="HI22" t="e">
        <f>IF(#REF!,"AAAAAH7/zNg=",0)</f>
        <v>#REF!</v>
      </c>
      <c r="HJ22" t="e">
        <f>AND(#REF!,"AAAAAH7/zNk=")</f>
        <v>#REF!</v>
      </c>
      <c r="HK22" t="e">
        <f>AND(#REF!,"AAAAAH7/zNo=")</f>
        <v>#REF!</v>
      </c>
      <c r="HL22" t="e">
        <f>AND(#REF!,"AAAAAH7/zNs=")</f>
        <v>#REF!</v>
      </c>
      <c r="HM22" t="e">
        <f>AND(#REF!,"AAAAAH7/zNw=")</f>
        <v>#REF!</v>
      </c>
      <c r="HN22" t="e">
        <f>AND(#REF!,"AAAAAH7/zN0=")</f>
        <v>#REF!</v>
      </c>
      <c r="HO22" t="e">
        <f>AND(#REF!,"AAAAAH7/zN4=")</f>
        <v>#REF!</v>
      </c>
      <c r="HP22" t="e">
        <f>AND(#REF!,"AAAAAH7/zN8=")</f>
        <v>#REF!</v>
      </c>
      <c r="HQ22" t="e">
        <f>AND(#REF!,"AAAAAH7/zOA=")</f>
        <v>#REF!</v>
      </c>
      <c r="HR22" t="e">
        <f>AND(#REF!,"AAAAAH7/zOE=")</f>
        <v>#REF!</v>
      </c>
      <c r="HS22" t="e">
        <f>IF(#REF!,"AAAAAH7/zOI=",0)</f>
        <v>#REF!</v>
      </c>
      <c r="HT22" t="e">
        <f>AND(#REF!,"AAAAAH7/zOM=")</f>
        <v>#REF!</v>
      </c>
      <c r="HU22" t="e">
        <f>AND(#REF!,"AAAAAH7/zOQ=")</f>
        <v>#REF!</v>
      </c>
      <c r="HV22" t="e">
        <f>AND(#REF!,"AAAAAH7/zOU=")</f>
        <v>#REF!</v>
      </c>
      <c r="HW22" t="e">
        <f>AND(#REF!,"AAAAAH7/zOY=")</f>
        <v>#REF!</v>
      </c>
      <c r="HX22" t="e">
        <f>AND(#REF!,"AAAAAH7/zOc=")</f>
        <v>#REF!</v>
      </c>
      <c r="HY22" t="e">
        <f>AND(#REF!,"AAAAAH7/zOg=")</f>
        <v>#REF!</v>
      </c>
      <c r="HZ22" t="e">
        <f>AND(#REF!,"AAAAAH7/zOk=")</f>
        <v>#REF!</v>
      </c>
      <c r="IA22" t="e">
        <f>AND(#REF!,"AAAAAH7/zOo=")</f>
        <v>#REF!</v>
      </c>
      <c r="IB22" t="e">
        <f>AND(#REF!,"AAAAAH7/zOs=")</f>
        <v>#REF!</v>
      </c>
      <c r="IC22" t="e">
        <f>IF(#REF!,"AAAAAH7/zOw=",0)</f>
        <v>#REF!</v>
      </c>
      <c r="ID22" t="e">
        <f>AND(#REF!,"AAAAAH7/zO0=")</f>
        <v>#REF!</v>
      </c>
      <c r="IE22" t="e">
        <f>AND(#REF!,"AAAAAH7/zO4=")</f>
        <v>#REF!</v>
      </c>
      <c r="IF22" t="e">
        <f>AND(#REF!,"AAAAAH7/zO8=")</f>
        <v>#REF!</v>
      </c>
      <c r="IG22" t="e">
        <f>AND(#REF!,"AAAAAH7/zPA=")</f>
        <v>#REF!</v>
      </c>
      <c r="IH22" t="e">
        <f>AND(#REF!,"AAAAAH7/zPE=")</f>
        <v>#REF!</v>
      </c>
      <c r="II22" t="e">
        <f>AND(#REF!,"AAAAAH7/zPI=")</f>
        <v>#REF!</v>
      </c>
      <c r="IJ22" t="e">
        <f>AND(#REF!,"AAAAAH7/zPM=")</f>
        <v>#REF!</v>
      </c>
      <c r="IK22" t="e">
        <f>AND(#REF!,"AAAAAH7/zPQ=")</f>
        <v>#REF!</v>
      </c>
      <c r="IL22" t="e">
        <f>AND(#REF!,"AAAAAH7/zPU=")</f>
        <v>#REF!</v>
      </c>
      <c r="IM22" t="e">
        <f>IF(#REF!,"AAAAAH7/zPY=",0)</f>
        <v>#REF!</v>
      </c>
      <c r="IN22" t="e">
        <f>AND(#REF!,"AAAAAH7/zPc=")</f>
        <v>#REF!</v>
      </c>
      <c r="IO22" t="e">
        <f>AND(#REF!,"AAAAAH7/zPg=")</f>
        <v>#REF!</v>
      </c>
      <c r="IP22" t="e">
        <f>AND(#REF!,"AAAAAH7/zPk=")</f>
        <v>#REF!</v>
      </c>
      <c r="IQ22" t="e">
        <f>AND(#REF!,"AAAAAH7/zPo=")</f>
        <v>#REF!</v>
      </c>
      <c r="IR22" t="e">
        <f>AND(#REF!,"AAAAAH7/zPs=")</f>
        <v>#REF!</v>
      </c>
      <c r="IS22" t="e">
        <f>AND(#REF!,"AAAAAH7/zPw=")</f>
        <v>#REF!</v>
      </c>
      <c r="IT22" t="e">
        <f>AND(#REF!,"AAAAAH7/zP0=")</f>
        <v>#REF!</v>
      </c>
      <c r="IU22" t="e">
        <f>AND(#REF!,"AAAAAH7/zP4=")</f>
        <v>#REF!</v>
      </c>
      <c r="IV22" t="e">
        <f>AND(#REF!,"AAAAAH7/zP8=")</f>
        <v>#REF!</v>
      </c>
    </row>
    <row r="23" spans="1:256" ht="12.75">
      <c r="A23" t="e">
        <f>IF(#REF!,"AAAAAFZ/fwA=",0)</f>
        <v>#REF!</v>
      </c>
      <c r="B23" t="e">
        <f>AND(#REF!,"AAAAAFZ/fwE=")</f>
        <v>#REF!</v>
      </c>
      <c r="C23" t="e">
        <f>AND(#REF!,"AAAAAFZ/fwI=")</f>
        <v>#REF!</v>
      </c>
      <c r="D23" t="e">
        <f>AND(#REF!,"AAAAAFZ/fwM=")</f>
        <v>#REF!</v>
      </c>
      <c r="E23" t="e">
        <f>AND(#REF!,"AAAAAFZ/fwQ=")</f>
        <v>#REF!</v>
      </c>
      <c r="F23" t="e">
        <f>AND(#REF!,"AAAAAFZ/fwU=")</f>
        <v>#REF!</v>
      </c>
      <c r="G23" t="e">
        <f>AND(#REF!,"AAAAAFZ/fwY=")</f>
        <v>#REF!</v>
      </c>
      <c r="H23" t="e">
        <f>AND(#REF!,"AAAAAFZ/fwc=")</f>
        <v>#REF!</v>
      </c>
      <c r="I23" t="e">
        <f>AND(#REF!,"AAAAAFZ/fwg=")</f>
        <v>#REF!</v>
      </c>
      <c r="J23" t="e">
        <f>AND(#REF!,"AAAAAFZ/fwk=")</f>
        <v>#REF!</v>
      </c>
      <c r="K23" t="e">
        <f>IF(#REF!,"AAAAAFZ/fwo=",0)</f>
        <v>#REF!</v>
      </c>
      <c r="L23" t="e">
        <f>AND(#REF!,"AAAAAFZ/fws=")</f>
        <v>#REF!</v>
      </c>
      <c r="M23" t="e">
        <f>AND(#REF!,"AAAAAFZ/fww=")</f>
        <v>#REF!</v>
      </c>
      <c r="N23" t="e">
        <f>AND(#REF!,"AAAAAFZ/fw0=")</f>
        <v>#REF!</v>
      </c>
      <c r="O23" t="e">
        <f>AND(#REF!,"AAAAAFZ/fw4=")</f>
        <v>#REF!</v>
      </c>
      <c r="P23" t="e">
        <f>AND(#REF!,"AAAAAFZ/fw8=")</f>
        <v>#REF!</v>
      </c>
      <c r="Q23" t="e">
        <f>AND(#REF!,"AAAAAFZ/fxA=")</f>
        <v>#REF!</v>
      </c>
      <c r="R23" t="e">
        <f>AND(#REF!,"AAAAAFZ/fxE=")</f>
        <v>#REF!</v>
      </c>
      <c r="S23" t="e">
        <f>AND(#REF!,"AAAAAFZ/fxI=")</f>
        <v>#REF!</v>
      </c>
      <c r="T23" t="e">
        <f>AND(#REF!,"AAAAAFZ/fxM=")</f>
        <v>#REF!</v>
      </c>
      <c r="U23" t="e">
        <f>IF(#REF!,"AAAAAFZ/fxQ=",0)</f>
        <v>#REF!</v>
      </c>
      <c r="V23" t="e">
        <f>AND(#REF!,"AAAAAFZ/fxU=")</f>
        <v>#REF!</v>
      </c>
      <c r="W23" t="e">
        <f>AND(#REF!,"AAAAAFZ/fxY=")</f>
        <v>#REF!</v>
      </c>
      <c r="X23" t="e">
        <f>AND(#REF!,"AAAAAFZ/fxc=")</f>
        <v>#REF!</v>
      </c>
      <c r="Y23" t="e">
        <f>AND(#REF!,"AAAAAFZ/fxg=")</f>
        <v>#REF!</v>
      </c>
      <c r="Z23" t="e">
        <f>AND(#REF!,"AAAAAFZ/fxk=")</f>
        <v>#REF!</v>
      </c>
      <c r="AA23" t="e">
        <f>AND(#REF!,"AAAAAFZ/fxo=")</f>
        <v>#REF!</v>
      </c>
      <c r="AB23" t="e">
        <f>AND(#REF!,"AAAAAFZ/fxs=")</f>
        <v>#REF!</v>
      </c>
      <c r="AC23" t="e">
        <f>AND(#REF!,"AAAAAFZ/fxw=")</f>
        <v>#REF!</v>
      </c>
      <c r="AD23" t="e">
        <f>AND(#REF!,"AAAAAFZ/fx0=")</f>
        <v>#REF!</v>
      </c>
      <c r="AE23" t="e">
        <f>IF(#REF!,"AAAAAFZ/fx4=",0)</f>
        <v>#REF!</v>
      </c>
      <c r="AF23" t="e">
        <f>IF(#REF!,"AAAAAFZ/fx8=",0)</f>
        <v>#REF!</v>
      </c>
      <c r="AG23" t="e">
        <f>IF(#REF!,"AAAAAFZ/fyA=",0)</f>
        <v>#REF!</v>
      </c>
      <c r="AH23" t="e">
        <f>IF(#REF!,"AAAAAFZ/fyE=",0)</f>
        <v>#REF!</v>
      </c>
      <c r="AI23" t="e">
        <f>IF(#REF!,"AAAAAFZ/fyI=",0)</f>
        <v>#REF!</v>
      </c>
      <c r="AJ23" t="e">
        <f>IF(#REF!,"AAAAAFZ/fyM=",0)</f>
        <v>#REF!</v>
      </c>
      <c r="AK23" t="e">
        <f>IF(#REF!,"AAAAAFZ/fyQ=",0)</f>
        <v>#REF!</v>
      </c>
      <c r="AL23" t="e">
        <f>IF(#REF!,"AAAAAFZ/fyU=",0)</f>
        <v>#REF!</v>
      </c>
      <c r="AM23" t="e">
        <f>IF(#REF!,"AAAAAFZ/fyY=",0)</f>
        <v>#REF!</v>
      </c>
      <c r="AN23" t="e">
        <f>IF(#REF!,"AAAAAFZ/fyc=",0)</f>
        <v>#REF!</v>
      </c>
      <c r="AO23" t="e">
        <f>AND(#REF!,"AAAAAFZ/fyg=")</f>
        <v>#REF!</v>
      </c>
      <c r="AP23" t="e">
        <f>AND(#REF!,"AAAAAFZ/fyk=")</f>
        <v>#REF!</v>
      </c>
      <c r="AQ23" t="e">
        <f>AND(#REF!,"AAAAAFZ/fyo=")</f>
        <v>#REF!</v>
      </c>
      <c r="AR23" t="e">
        <f>AND(#REF!,"AAAAAFZ/fys=")</f>
        <v>#REF!</v>
      </c>
      <c r="AS23" t="e">
        <f>AND(#REF!,"AAAAAFZ/fyw=")</f>
        <v>#REF!</v>
      </c>
      <c r="AT23" t="e">
        <f>AND(#REF!,"AAAAAFZ/fy0=")</f>
        <v>#REF!</v>
      </c>
      <c r="AU23" t="e">
        <f>AND(#REF!,"AAAAAFZ/fy4=")</f>
        <v>#REF!</v>
      </c>
      <c r="AV23" t="e">
        <f>AND(#REF!,"AAAAAFZ/fy8=")</f>
        <v>#REF!</v>
      </c>
      <c r="AW23" t="e">
        <f>AND(#REF!,"AAAAAFZ/fzA=")</f>
        <v>#REF!</v>
      </c>
      <c r="AX23" t="e">
        <f>AND(#REF!,"AAAAAFZ/fzE=")</f>
        <v>#REF!</v>
      </c>
      <c r="AY23" t="e">
        <f>AND(#REF!,"AAAAAFZ/fzI=")</f>
        <v>#REF!</v>
      </c>
      <c r="AZ23" t="e">
        <f>AND(#REF!,"AAAAAFZ/fzM=")</f>
        <v>#REF!</v>
      </c>
      <c r="BA23" t="e">
        <f>AND(#REF!,"AAAAAFZ/fzQ=")</f>
        <v>#REF!</v>
      </c>
      <c r="BB23" t="e">
        <f>AND(#REF!,"AAAAAFZ/fzU=")</f>
        <v>#REF!</v>
      </c>
      <c r="BC23" t="e">
        <f>AND(#REF!,"AAAAAFZ/fzY=")</f>
        <v>#REF!</v>
      </c>
      <c r="BD23" t="e">
        <f>AND(#REF!,"AAAAAFZ/fzc=")</f>
        <v>#REF!</v>
      </c>
      <c r="BE23" t="e">
        <f>AND(#REF!,"AAAAAFZ/fzg=")</f>
        <v>#REF!</v>
      </c>
      <c r="BF23" t="e">
        <f>AND(#REF!,"AAAAAFZ/fzk=")</f>
        <v>#REF!</v>
      </c>
      <c r="BG23" t="e">
        <f>IF(#REF!,"AAAAAFZ/fzo=",0)</f>
        <v>#REF!</v>
      </c>
      <c r="BH23" t="e">
        <f>AND(#REF!,"AAAAAFZ/fzs=")</f>
        <v>#REF!</v>
      </c>
      <c r="BI23" t="e">
        <f>AND(#REF!,"AAAAAFZ/fzw=")</f>
        <v>#REF!</v>
      </c>
      <c r="BJ23" t="e">
        <f>AND(#REF!,"AAAAAFZ/fz0=")</f>
        <v>#REF!</v>
      </c>
      <c r="BK23" t="e">
        <f>AND(#REF!,"AAAAAFZ/fz4=")</f>
        <v>#REF!</v>
      </c>
      <c r="BL23" t="e">
        <f>AND(#REF!,"AAAAAFZ/fz8=")</f>
        <v>#REF!</v>
      </c>
      <c r="BM23" t="e">
        <f>AND(#REF!,"AAAAAFZ/f0A=")</f>
        <v>#REF!</v>
      </c>
      <c r="BN23" t="e">
        <f>AND(#REF!,"AAAAAFZ/f0E=")</f>
        <v>#REF!</v>
      </c>
      <c r="BO23" t="e">
        <f>AND(#REF!,"AAAAAFZ/f0I=")</f>
        <v>#REF!</v>
      </c>
      <c r="BP23" t="e">
        <f>AND(#REF!,"AAAAAFZ/f0M=")</f>
        <v>#REF!</v>
      </c>
      <c r="BQ23" t="e">
        <f>AND(#REF!,"AAAAAFZ/f0Q=")</f>
        <v>#REF!</v>
      </c>
      <c r="BR23" t="e">
        <f>AND(#REF!,"AAAAAFZ/f0U=")</f>
        <v>#REF!</v>
      </c>
      <c r="BS23" t="e">
        <f>AND(#REF!,"AAAAAFZ/f0Y=")</f>
        <v>#REF!</v>
      </c>
      <c r="BT23" t="e">
        <f>AND(#REF!,"AAAAAFZ/f0c=")</f>
        <v>#REF!</v>
      </c>
      <c r="BU23" t="e">
        <f>AND(#REF!,"AAAAAFZ/f0g=")</f>
        <v>#REF!</v>
      </c>
      <c r="BV23" t="e">
        <f>AND(#REF!,"AAAAAFZ/f0k=")</f>
        <v>#REF!</v>
      </c>
      <c r="BW23" t="e">
        <f>AND(#REF!,"AAAAAFZ/f0o=")</f>
        <v>#REF!</v>
      </c>
      <c r="BX23" t="e">
        <f>AND(#REF!,"AAAAAFZ/f0s=")</f>
        <v>#REF!</v>
      </c>
      <c r="BY23" t="e">
        <f>AND(#REF!,"AAAAAFZ/f0w=")</f>
        <v>#REF!</v>
      </c>
      <c r="BZ23" t="e">
        <f>IF(#REF!,"AAAAAFZ/f00=",0)</f>
        <v>#REF!</v>
      </c>
      <c r="CA23" t="e">
        <f>AND(#REF!,"AAAAAFZ/f04=")</f>
        <v>#REF!</v>
      </c>
      <c r="CB23" t="e">
        <f>AND(#REF!,"AAAAAFZ/f08=")</f>
        <v>#REF!</v>
      </c>
      <c r="CC23" t="e">
        <f>AND(#REF!,"AAAAAFZ/f1A=")</f>
        <v>#REF!</v>
      </c>
      <c r="CD23" t="e">
        <f>AND(#REF!,"AAAAAFZ/f1E=")</f>
        <v>#REF!</v>
      </c>
      <c r="CE23" t="e">
        <f>AND(#REF!,"AAAAAFZ/f1I=")</f>
        <v>#REF!</v>
      </c>
      <c r="CF23" t="e">
        <f>AND(#REF!,"AAAAAFZ/f1M=")</f>
        <v>#REF!</v>
      </c>
      <c r="CG23" t="e">
        <f>AND(#REF!,"AAAAAFZ/f1Q=")</f>
        <v>#REF!</v>
      </c>
      <c r="CH23" t="e">
        <f>AND(#REF!,"AAAAAFZ/f1U=")</f>
        <v>#REF!</v>
      </c>
      <c r="CI23" t="e">
        <f>AND(#REF!,"AAAAAFZ/f1Y=")</f>
        <v>#REF!</v>
      </c>
      <c r="CJ23" t="e">
        <f>AND(#REF!,"AAAAAFZ/f1c=")</f>
        <v>#REF!</v>
      </c>
      <c r="CK23" t="e">
        <f>AND(#REF!,"AAAAAFZ/f1g=")</f>
        <v>#REF!</v>
      </c>
      <c r="CL23" t="e">
        <f>AND(#REF!,"AAAAAFZ/f1k=")</f>
        <v>#REF!</v>
      </c>
      <c r="CM23" t="e">
        <f>AND(#REF!,"AAAAAFZ/f1o=")</f>
        <v>#REF!</v>
      </c>
      <c r="CN23" t="e">
        <f>AND(#REF!,"AAAAAFZ/f1s=")</f>
        <v>#REF!</v>
      </c>
      <c r="CO23" t="e">
        <f>AND(#REF!,"AAAAAFZ/f1w=")</f>
        <v>#REF!</v>
      </c>
      <c r="CP23" t="e">
        <f>AND(#REF!,"AAAAAFZ/f10=")</f>
        <v>#REF!</v>
      </c>
      <c r="CQ23" t="e">
        <f>AND(#REF!,"AAAAAFZ/f14=")</f>
        <v>#REF!</v>
      </c>
      <c r="CR23" t="e">
        <f>AND(#REF!,"AAAAAFZ/f18=")</f>
        <v>#REF!</v>
      </c>
      <c r="CS23" t="e">
        <f>IF(#REF!,"AAAAAFZ/f2A=",0)</f>
        <v>#REF!</v>
      </c>
      <c r="CT23" t="e">
        <f>AND(#REF!,"AAAAAFZ/f2E=")</f>
        <v>#REF!</v>
      </c>
      <c r="CU23" t="e">
        <f>AND(#REF!,"AAAAAFZ/f2I=")</f>
        <v>#REF!</v>
      </c>
      <c r="CV23" t="e">
        <f>AND(#REF!,"AAAAAFZ/f2M=")</f>
        <v>#REF!</v>
      </c>
      <c r="CW23" t="e">
        <f>AND(#REF!,"AAAAAFZ/f2Q=")</f>
        <v>#REF!</v>
      </c>
      <c r="CX23" t="e">
        <f>AND(#REF!,"AAAAAFZ/f2U=")</f>
        <v>#REF!</v>
      </c>
      <c r="CY23" t="e">
        <f>AND(#REF!,"AAAAAFZ/f2Y=")</f>
        <v>#REF!</v>
      </c>
      <c r="CZ23" t="e">
        <f>AND(#REF!,"AAAAAFZ/f2c=")</f>
        <v>#REF!</v>
      </c>
      <c r="DA23" t="e">
        <f>AND(#REF!,"AAAAAFZ/f2g=")</f>
        <v>#REF!</v>
      </c>
      <c r="DB23" t="e">
        <f>AND(#REF!,"AAAAAFZ/f2k=")</f>
        <v>#REF!</v>
      </c>
      <c r="DC23" t="e">
        <f>AND(#REF!,"AAAAAFZ/f2o=")</f>
        <v>#REF!</v>
      </c>
      <c r="DD23" t="e">
        <f>AND(#REF!,"AAAAAFZ/f2s=")</f>
        <v>#REF!</v>
      </c>
      <c r="DE23" t="e">
        <f>AND(#REF!,"AAAAAFZ/f2w=")</f>
        <v>#REF!</v>
      </c>
      <c r="DF23" t="e">
        <f>AND(#REF!,"AAAAAFZ/f20=")</f>
        <v>#REF!</v>
      </c>
      <c r="DG23" t="e">
        <f>AND(#REF!,"AAAAAFZ/f24=")</f>
        <v>#REF!</v>
      </c>
      <c r="DH23" t="e">
        <f>AND(#REF!,"AAAAAFZ/f28=")</f>
        <v>#REF!</v>
      </c>
      <c r="DI23" t="e">
        <f>AND(#REF!,"AAAAAFZ/f3A=")</f>
        <v>#REF!</v>
      </c>
      <c r="DJ23" t="e">
        <f>AND(#REF!,"AAAAAFZ/f3E=")</f>
        <v>#REF!</v>
      </c>
      <c r="DK23" t="e">
        <f>AND(#REF!,"AAAAAFZ/f3I=")</f>
        <v>#REF!</v>
      </c>
      <c r="DL23" t="e">
        <f>IF(#REF!,"AAAAAFZ/f3M=",0)</f>
        <v>#REF!</v>
      </c>
      <c r="DM23" t="e">
        <f>AND(#REF!,"AAAAAFZ/f3Q=")</f>
        <v>#REF!</v>
      </c>
      <c r="DN23" t="e">
        <f>AND(#REF!,"AAAAAFZ/f3U=")</f>
        <v>#REF!</v>
      </c>
      <c r="DO23" t="e">
        <f>AND(#REF!,"AAAAAFZ/f3Y=")</f>
        <v>#REF!</v>
      </c>
      <c r="DP23" t="e">
        <f>AND(#REF!,"AAAAAFZ/f3c=")</f>
        <v>#REF!</v>
      </c>
      <c r="DQ23" t="e">
        <f>AND(#REF!,"AAAAAFZ/f3g=")</f>
        <v>#REF!</v>
      </c>
      <c r="DR23" t="e">
        <f>AND(#REF!,"AAAAAFZ/f3k=")</f>
        <v>#REF!</v>
      </c>
      <c r="DS23" t="e">
        <f>AND(#REF!,"AAAAAFZ/f3o=")</f>
        <v>#REF!</v>
      </c>
      <c r="DT23" t="e">
        <f>AND(#REF!,"AAAAAFZ/f3s=")</f>
        <v>#REF!</v>
      </c>
      <c r="DU23" t="e">
        <f>AND(#REF!,"AAAAAFZ/f3w=")</f>
        <v>#REF!</v>
      </c>
      <c r="DV23" t="e">
        <f>AND(#REF!,"AAAAAFZ/f30=")</f>
        <v>#REF!</v>
      </c>
      <c r="DW23" t="e">
        <f>AND(#REF!,"AAAAAFZ/f34=")</f>
        <v>#REF!</v>
      </c>
      <c r="DX23" t="e">
        <f>AND(#REF!,"AAAAAFZ/f38=")</f>
        <v>#REF!</v>
      </c>
      <c r="DY23" t="e">
        <f>AND(#REF!,"AAAAAFZ/f4A=")</f>
        <v>#REF!</v>
      </c>
      <c r="DZ23" t="e">
        <f>AND(#REF!,"AAAAAFZ/f4E=")</f>
        <v>#REF!</v>
      </c>
      <c r="EA23" t="e">
        <f>AND(#REF!,"AAAAAFZ/f4I=")</f>
        <v>#REF!</v>
      </c>
      <c r="EB23" t="e">
        <f>AND(#REF!,"AAAAAFZ/f4M=")</f>
        <v>#REF!</v>
      </c>
      <c r="EC23" t="e">
        <f>AND(#REF!,"AAAAAFZ/f4Q=")</f>
        <v>#REF!</v>
      </c>
      <c r="ED23" t="e">
        <f>AND(#REF!,"AAAAAFZ/f4U=")</f>
        <v>#REF!</v>
      </c>
      <c r="EE23" t="e">
        <f>IF(#REF!,"AAAAAFZ/f4Y=",0)</f>
        <v>#REF!</v>
      </c>
      <c r="EF23" t="e">
        <f>AND(#REF!,"AAAAAFZ/f4c=")</f>
        <v>#REF!</v>
      </c>
      <c r="EG23" t="e">
        <f>AND(#REF!,"AAAAAFZ/f4g=")</f>
        <v>#REF!</v>
      </c>
      <c r="EH23" t="e">
        <f>AND(#REF!,"AAAAAFZ/f4k=")</f>
        <v>#REF!</v>
      </c>
      <c r="EI23" t="e">
        <f>AND(#REF!,"AAAAAFZ/f4o=")</f>
        <v>#REF!</v>
      </c>
      <c r="EJ23" t="e">
        <f>AND(#REF!,"AAAAAFZ/f4s=")</f>
        <v>#REF!</v>
      </c>
      <c r="EK23" t="e">
        <f>AND(#REF!,"AAAAAFZ/f4w=")</f>
        <v>#REF!</v>
      </c>
      <c r="EL23" t="e">
        <f>AND(#REF!,"AAAAAFZ/f40=")</f>
        <v>#REF!</v>
      </c>
      <c r="EM23" t="e">
        <f>AND(#REF!,"AAAAAFZ/f44=")</f>
        <v>#REF!</v>
      </c>
      <c r="EN23" t="e">
        <f>AND(#REF!,"AAAAAFZ/f48=")</f>
        <v>#REF!</v>
      </c>
      <c r="EO23" t="e">
        <f>AND(#REF!,"AAAAAFZ/f5A=")</f>
        <v>#REF!</v>
      </c>
      <c r="EP23" t="e">
        <f>AND(#REF!,"AAAAAFZ/f5E=")</f>
        <v>#REF!</v>
      </c>
      <c r="EQ23" t="e">
        <f>AND(#REF!,"AAAAAFZ/f5I=")</f>
        <v>#REF!</v>
      </c>
      <c r="ER23" t="e">
        <f>AND(#REF!,"AAAAAFZ/f5M=")</f>
        <v>#REF!</v>
      </c>
      <c r="ES23" t="e">
        <f>AND(#REF!,"AAAAAFZ/f5Q=")</f>
        <v>#REF!</v>
      </c>
      <c r="ET23" t="e">
        <f>AND(#REF!,"AAAAAFZ/f5U=")</f>
        <v>#REF!</v>
      </c>
      <c r="EU23" t="e">
        <f>AND(#REF!,"AAAAAFZ/f5Y=")</f>
        <v>#REF!</v>
      </c>
      <c r="EV23" t="e">
        <f>AND(#REF!,"AAAAAFZ/f5c=")</f>
        <v>#REF!</v>
      </c>
      <c r="EW23" t="e">
        <f>AND(#REF!,"AAAAAFZ/f5g=")</f>
        <v>#REF!</v>
      </c>
      <c r="EX23" t="e">
        <f>IF(#REF!,"AAAAAFZ/f5k=",0)</f>
        <v>#REF!</v>
      </c>
      <c r="EY23" t="e">
        <f>AND(#REF!,"AAAAAFZ/f5o=")</f>
        <v>#REF!</v>
      </c>
      <c r="EZ23" t="e">
        <f>AND(#REF!,"AAAAAFZ/f5s=")</f>
        <v>#REF!</v>
      </c>
      <c r="FA23" t="e">
        <f>AND(#REF!,"AAAAAFZ/f5w=")</f>
        <v>#REF!</v>
      </c>
      <c r="FB23" t="e">
        <f>AND(#REF!,"AAAAAFZ/f50=")</f>
        <v>#REF!</v>
      </c>
      <c r="FC23" t="e">
        <f>AND(#REF!,"AAAAAFZ/f54=")</f>
        <v>#REF!</v>
      </c>
      <c r="FD23" t="e">
        <f>AND(#REF!,"AAAAAFZ/f58=")</f>
        <v>#REF!</v>
      </c>
      <c r="FE23" t="e">
        <f>AND(#REF!,"AAAAAFZ/f6A=")</f>
        <v>#REF!</v>
      </c>
      <c r="FF23" t="e">
        <f>AND(#REF!,"AAAAAFZ/f6E=")</f>
        <v>#REF!</v>
      </c>
      <c r="FG23" t="e">
        <f>AND(#REF!,"AAAAAFZ/f6I=")</f>
        <v>#REF!</v>
      </c>
      <c r="FH23" t="e">
        <f>AND(#REF!,"AAAAAFZ/f6M=")</f>
        <v>#REF!</v>
      </c>
      <c r="FI23" t="e">
        <f>AND(#REF!,"AAAAAFZ/f6Q=")</f>
        <v>#REF!</v>
      </c>
      <c r="FJ23" t="e">
        <f>AND(#REF!,"AAAAAFZ/f6U=")</f>
        <v>#REF!</v>
      </c>
      <c r="FK23" t="e">
        <f>AND(#REF!,"AAAAAFZ/f6Y=")</f>
        <v>#REF!</v>
      </c>
      <c r="FL23" t="e">
        <f>AND(#REF!,"AAAAAFZ/f6c=")</f>
        <v>#REF!</v>
      </c>
      <c r="FM23" t="e">
        <f>AND(#REF!,"AAAAAFZ/f6g=")</f>
        <v>#REF!</v>
      </c>
      <c r="FN23" t="e">
        <f>AND(#REF!,"AAAAAFZ/f6k=")</f>
        <v>#REF!</v>
      </c>
      <c r="FO23" t="e">
        <f>AND(#REF!,"AAAAAFZ/f6o=")</f>
        <v>#REF!</v>
      </c>
      <c r="FP23" t="e">
        <f>AND(#REF!,"AAAAAFZ/f6s=")</f>
        <v>#REF!</v>
      </c>
      <c r="FQ23" t="e">
        <f>IF(#REF!,"AAAAAFZ/f6w=",0)</f>
        <v>#REF!</v>
      </c>
      <c r="FR23" t="e">
        <f>AND(#REF!,"AAAAAFZ/f60=")</f>
        <v>#REF!</v>
      </c>
      <c r="FS23" t="e">
        <f>AND(#REF!,"AAAAAFZ/f64=")</f>
        <v>#REF!</v>
      </c>
      <c r="FT23" t="e">
        <f>AND(#REF!,"AAAAAFZ/f68=")</f>
        <v>#REF!</v>
      </c>
      <c r="FU23" t="e">
        <f>AND(#REF!,"AAAAAFZ/f7A=")</f>
        <v>#REF!</v>
      </c>
      <c r="FV23" t="e">
        <f>AND(#REF!,"AAAAAFZ/f7E=")</f>
        <v>#REF!</v>
      </c>
      <c r="FW23" t="e">
        <f>AND(#REF!,"AAAAAFZ/f7I=")</f>
        <v>#REF!</v>
      </c>
      <c r="FX23" t="e">
        <f>AND(#REF!,"AAAAAFZ/f7M=")</f>
        <v>#REF!</v>
      </c>
      <c r="FY23" t="e">
        <f>AND(#REF!,"AAAAAFZ/f7Q=")</f>
        <v>#REF!</v>
      </c>
      <c r="FZ23" t="e">
        <f>AND(#REF!,"AAAAAFZ/f7U=")</f>
        <v>#REF!</v>
      </c>
      <c r="GA23" t="e">
        <f>AND(#REF!,"AAAAAFZ/f7Y=")</f>
        <v>#REF!</v>
      </c>
      <c r="GB23" t="e">
        <f>AND(#REF!,"AAAAAFZ/f7c=")</f>
        <v>#REF!</v>
      </c>
      <c r="GC23" t="e">
        <f>AND(#REF!,"AAAAAFZ/f7g=")</f>
        <v>#REF!</v>
      </c>
      <c r="GD23" t="e">
        <f>AND(#REF!,"AAAAAFZ/f7k=")</f>
        <v>#REF!</v>
      </c>
      <c r="GE23" t="e">
        <f>AND(#REF!,"AAAAAFZ/f7o=")</f>
        <v>#REF!</v>
      </c>
      <c r="GF23" t="e">
        <f>AND(#REF!,"AAAAAFZ/f7s=")</f>
        <v>#REF!</v>
      </c>
      <c r="GG23" t="e">
        <f>AND(#REF!,"AAAAAFZ/f7w=")</f>
        <v>#REF!</v>
      </c>
      <c r="GH23" t="e">
        <f>AND(#REF!,"AAAAAFZ/f70=")</f>
        <v>#REF!</v>
      </c>
      <c r="GI23" t="e">
        <f>AND(#REF!,"AAAAAFZ/f74=")</f>
        <v>#REF!</v>
      </c>
      <c r="GJ23" t="e">
        <f>IF(#REF!,"AAAAAFZ/f78=",0)</f>
        <v>#REF!</v>
      </c>
      <c r="GK23" t="e">
        <f>AND(#REF!,"AAAAAFZ/f8A=")</f>
        <v>#REF!</v>
      </c>
      <c r="GL23" t="e">
        <f>AND(#REF!,"AAAAAFZ/f8E=")</f>
        <v>#REF!</v>
      </c>
      <c r="GM23" t="e">
        <f>AND(#REF!,"AAAAAFZ/f8I=")</f>
        <v>#REF!</v>
      </c>
      <c r="GN23" t="e">
        <f>AND(#REF!,"AAAAAFZ/f8M=")</f>
        <v>#REF!</v>
      </c>
      <c r="GO23" t="e">
        <f>AND(#REF!,"AAAAAFZ/f8Q=")</f>
        <v>#REF!</v>
      </c>
      <c r="GP23" t="e">
        <f>AND(#REF!,"AAAAAFZ/f8U=")</f>
        <v>#REF!</v>
      </c>
      <c r="GQ23" t="e">
        <f>AND(#REF!,"AAAAAFZ/f8Y=")</f>
        <v>#REF!</v>
      </c>
      <c r="GR23" t="e">
        <f>AND(#REF!,"AAAAAFZ/f8c=")</f>
        <v>#REF!</v>
      </c>
      <c r="GS23" t="e">
        <f>AND(#REF!,"AAAAAFZ/f8g=")</f>
        <v>#REF!</v>
      </c>
      <c r="GT23" t="e">
        <f>AND(#REF!,"AAAAAFZ/f8k=")</f>
        <v>#REF!</v>
      </c>
      <c r="GU23" t="e">
        <f>AND(#REF!,"AAAAAFZ/f8o=")</f>
        <v>#REF!</v>
      </c>
      <c r="GV23" t="e">
        <f>AND(#REF!,"AAAAAFZ/f8s=")</f>
        <v>#REF!</v>
      </c>
      <c r="GW23" t="e">
        <f>AND(#REF!,"AAAAAFZ/f8w=")</f>
        <v>#REF!</v>
      </c>
      <c r="GX23" t="e">
        <f>AND(#REF!,"AAAAAFZ/f80=")</f>
        <v>#REF!</v>
      </c>
      <c r="GY23" t="e">
        <f>AND(#REF!,"AAAAAFZ/f84=")</f>
        <v>#REF!</v>
      </c>
      <c r="GZ23" t="e">
        <f>AND(#REF!,"AAAAAFZ/f88=")</f>
        <v>#REF!</v>
      </c>
      <c r="HA23" t="e">
        <f>AND(#REF!,"AAAAAFZ/f9A=")</f>
        <v>#REF!</v>
      </c>
      <c r="HB23" t="e">
        <f>AND(#REF!,"AAAAAFZ/f9E=")</f>
        <v>#REF!</v>
      </c>
      <c r="HC23" t="e">
        <f>IF(#REF!,"AAAAAFZ/f9I=",0)</f>
        <v>#REF!</v>
      </c>
      <c r="HD23" t="e">
        <f>AND(#REF!,"AAAAAFZ/f9M=")</f>
        <v>#REF!</v>
      </c>
      <c r="HE23" t="e">
        <f>AND(#REF!,"AAAAAFZ/f9Q=")</f>
        <v>#REF!</v>
      </c>
      <c r="HF23" t="e">
        <f>AND(#REF!,"AAAAAFZ/f9U=")</f>
        <v>#REF!</v>
      </c>
      <c r="HG23" t="e">
        <f>AND(#REF!,"AAAAAFZ/f9Y=")</f>
        <v>#REF!</v>
      </c>
      <c r="HH23" t="e">
        <f>AND(#REF!,"AAAAAFZ/f9c=")</f>
        <v>#REF!</v>
      </c>
      <c r="HI23" t="e">
        <f>AND(#REF!,"AAAAAFZ/f9g=")</f>
        <v>#REF!</v>
      </c>
      <c r="HJ23" t="e">
        <f>AND(#REF!,"AAAAAFZ/f9k=")</f>
        <v>#REF!</v>
      </c>
      <c r="HK23" t="e">
        <f>AND(#REF!,"AAAAAFZ/f9o=")</f>
        <v>#REF!</v>
      </c>
      <c r="HL23" t="e">
        <f>AND(#REF!,"AAAAAFZ/f9s=")</f>
        <v>#REF!</v>
      </c>
      <c r="HM23" t="e">
        <f>AND(#REF!,"AAAAAFZ/f9w=")</f>
        <v>#REF!</v>
      </c>
      <c r="HN23" t="e">
        <f>AND(#REF!,"AAAAAFZ/f90=")</f>
        <v>#REF!</v>
      </c>
      <c r="HO23" t="e">
        <f>AND(#REF!,"AAAAAFZ/f94=")</f>
        <v>#REF!</v>
      </c>
      <c r="HP23" t="e">
        <f>AND(#REF!,"AAAAAFZ/f98=")</f>
        <v>#REF!</v>
      </c>
      <c r="HQ23" t="e">
        <f>AND(#REF!,"AAAAAFZ/f+A=")</f>
        <v>#REF!</v>
      </c>
      <c r="HR23" t="e">
        <f>AND(#REF!,"AAAAAFZ/f+E=")</f>
        <v>#REF!</v>
      </c>
      <c r="HS23" t="e">
        <f>AND(#REF!,"AAAAAFZ/f+I=")</f>
        <v>#REF!</v>
      </c>
      <c r="HT23" t="e">
        <f>AND(#REF!,"AAAAAFZ/f+M=")</f>
        <v>#REF!</v>
      </c>
      <c r="HU23" t="e">
        <f>AND(#REF!,"AAAAAFZ/f+Q=")</f>
        <v>#REF!</v>
      </c>
      <c r="HV23" t="e">
        <f>IF(#REF!,"AAAAAFZ/f+U=",0)</f>
        <v>#REF!</v>
      </c>
      <c r="HW23" t="e">
        <f>AND(#REF!,"AAAAAFZ/f+Y=")</f>
        <v>#REF!</v>
      </c>
      <c r="HX23" t="e">
        <f>AND(#REF!,"AAAAAFZ/f+c=")</f>
        <v>#REF!</v>
      </c>
      <c r="HY23" t="e">
        <f>AND(#REF!,"AAAAAFZ/f+g=")</f>
        <v>#REF!</v>
      </c>
      <c r="HZ23" t="e">
        <f>AND(#REF!,"AAAAAFZ/f+k=")</f>
        <v>#REF!</v>
      </c>
      <c r="IA23" t="e">
        <f>AND(#REF!,"AAAAAFZ/f+o=")</f>
        <v>#REF!</v>
      </c>
      <c r="IB23" t="e">
        <f>AND(#REF!,"AAAAAFZ/f+s=")</f>
        <v>#REF!</v>
      </c>
      <c r="IC23" t="e">
        <f>AND(#REF!,"AAAAAFZ/f+w=")</f>
        <v>#REF!</v>
      </c>
      <c r="ID23" t="e">
        <f>AND(#REF!,"AAAAAFZ/f+0=")</f>
        <v>#REF!</v>
      </c>
      <c r="IE23" t="e">
        <f>AND(#REF!,"AAAAAFZ/f+4=")</f>
        <v>#REF!</v>
      </c>
      <c r="IF23" t="e">
        <f>AND(#REF!,"AAAAAFZ/f+8=")</f>
        <v>#REF!</v>
      </c>
      <c r="IG23" t="e">
        <f>AND(#REF!,"AAAAAFZ/f/A=")</f>
        <v>#REF!</v>
      </c>
      <c r="IH23" t="e">
        <f>AND(#REF!,"AAAAAFZ/f/E=")</f>
        <v>#REF!</v>
      </c>
      <c r="II23" t="e">
        <f>AND(#REF!,"AAAAAFZ/f/I=")</f>
        <v>#REF!</v>
      </c>
      <c r="IJ23" t="e">
        <f>AND(#REF!,"AAAAAFZ/f/M=")</f>
        <v>#REF!</v>
      </c>
      <c r="IK23" t="e">
        <f>AND(#REF!,"AAAAAFZ/f/Q=")</f>
        <v>#REF!</v>
      </c>
      <c r="IL23" t="e">
        <f>AND(#REF!,"AAAAAFZ/f/U=")</f>
        <v>#REF!</v>
      </c>
      <c r="IM23" t="e">
        <f>AND(#REF!,"AAAAAFZ/f/Y=")</f>
        <v>#REF!</v>
      </c>
      <c r="IN23" t="e">
        <f>AND(#REF!,"AAAAAFZ/f/c=")</f>
        <v>#REF!</v>
      </c>
      <c r="IO23" t="e">
        <f>IF(#REF!,"AAAAAFZ/f/g=",0)</f>
        <v>#REF!</v>
      </c>
      <c r="IP23" t="e">
        <f>AND(#REF!,"AAAAAFZ/f/k=")</f>
        <v>#REF!</v>
      </c>
      <c r="IQ23" t="e">
        <f>AND(#REF!,"AAAAAFZ/f/o=")</f>
        <v>#REF!</v>
      </c>
      <c r="IR23" t="e">
        <f>AND(#REF!,"AAAAAFZ/f/s=")</f>
        <v>#REF!</v>
      </c>
      <c r="IS23" t="e">
        <f>AND(#REF!,"AAAAAFZ/f/w=")</f>
        <v>#REF!</v>
      </c>
      <c r="IT23" t="e">
        <f>AND(#REF!,"AAAAAFZ/f/0=")</f>
        <v>#REF!</v>
      </c>
      <c r="IU23" t="e">
        <f>AND(#REF!,"AAAAAFZ/f/4=")</f>
        <v>#REF!</v>
      </c>
      <c r="IV23" t="e">
        <f>AND(#REF!,"AAAAAFZ/f/8=")</f>
        <v>#REF!</v>
      </c>
    </row>
    <row r="24" spans="1:256" ht="12.75">
      <c r="A24" t="e">
        <f>AND(#REF!,"AAAAAD64rwA=")</f>
        <v>#REF!</v>
      </c>
      <c r="B24" t="e">
        <f>AND(#REF!,"AAAAAD64rwE=")</f>
        <v>#REF!</v>
      </c>
      <c r="C24" t="e">
        <f>AND(#REF!,"AAAAAD64rwI=")</f>
        <v>#REF!</v>
      </c>
      <c r="D24" t="e">
        <f>AND(#REF!,"AAAAAD64rwM=")</f>
        <v>#REF!</v>
      </c>
      <c r="E24" t="e">
        <f>AND(#REF!,"AAAAAD64rwQ=")</f>
        <v>#REF!</v>
      </c>
      <c r="F24" t="e">
        <f>AND(#REF!,"AAAAAD64rwU=")</f>
        <v>#REF!</v>
      </c>
      <c r="G24" t="e">
        <f>AND(#REF!,"AAAAAD64rwY=")</f>
        <v>#REF!</v>
      </c>
      <c r="H24" t="e">
        <f>AND(#REF!,"AAAAAD64rwc=")</f>
        <v>#REF!</v>
      </c>
      <c r="I24" t="e">
        <f>AND(#REF!,"AAAAAD64rwg=")</f>
        <v>#REF!</v>
      </c>
      <c r="J24" t="e">
        <f>AND(#REF!,"AAAAAD64rwk=")</f>
        <v>#REF!</v>
      </c>
      <c r="K24" t="e">
        <f>AND(#REF!,"AAAAAD64rwo=")</f>
        <v>#REF!</v>
      </c>
      <c r="L24" t="e">
        <f>IF(#REF!,"AAAAAD64rws=",0)</f>
        <v>#REF!</v>
      </c>
      <c r="M24" t="e">
        <f>AND(#REF!,"AAAAAD64rww=")</f>
        <v>#REF!</v>
      </c>
      <c r="N24" t="e">
        <f>AND(#REF!,"AAAAAD64rw0=")</f>
        <v>#REF!</v>
      </c>
      <c r="O24" t="e">
        <f>AND(#REF!,"AAAAAD64rw4=")</f>
        <v>#REF!</v>
      </c>
      <c r="P24" t="e">
        <f>AND(#REF!,"AAAAAD64rw8=")</f>
        <v>#REF!</v>
      </c>
      <c r="Q24" t="e">
        <f>AND(#REF!,"AAAAAD64rxA=")</f>
        <v>#REF!</v>
      </c>
      <c r="R24" t="e">
        <f>AND(#REF!,"AAAAAD64rxE=")</f>
        <v>#REF!</v>
      </c>
      <c r="S24" t="e">
        <f>AND(#REF!,"AAAAAD64rxI=")</f>
        <v>#REF!</v>
      </c>
      <c r="T24" t="e">
        <f>AND(#REF!,"AAAAAD64rxM=")</f>
        <v>#REF!</v>
      </c>
      <c r="U24" t="e">
        <f>AND(#REF!,"AAAAAD64rxQ=")</f>
        <v>#REF!</v>
      </c>
      <c r="V24" t="e">
        <f>AND(#REF!,"AAAAAD64rxU=")</f>
        <v>#REF!</v>
      </c>
      <c r="W24" t="e">
        <f>AND(#REF!,"AAAAAD64rxY=")</f>
        <v>#REF!</v>
      </c>
      <c r="X24" t="e">
        <f>AND(#REF!,"AAAAAD64rxc=")</f>
        <v>#REF!</v>
      </c>
      <c r="Y24" t="e">
        <f>AND(#REF!,"AAAAAD64rxg=")</f>
        <v>#REF!</v>
      </c>
      <c r="Z24" t="e">
        <f>AND(#REF!,"AAAAAD64rxk=")</f>
        <v>#REF!</v>
      </c>
      <c r="AA24" t="e">
        <f>AND(#REF!,"AAAAAD64rxo=")</f>
        <v>#REF!</v>
      </c>
      <c r="AB24" t="e">
        <f>AND(#REF!,"AAAAAD64rxs=")</f>
        <v>#REF!</v>
      </c>
      <c r="AC24" t="e">
        <f>AND(#REF!,"AAAAAD64rxw=")</f>
        <v>#REF!</v>
      </c>
      <c r="AD24" t="e">
        <f>AND(#REF!,"AAAAAD64rx0=")</f>
        <v>#REF!</v>
      </c>
      <c r="AE24" t="e">
        <f>IF(#REF!,"AAAAAD64rx4=",0)</f>
        <v>#REF!</v>
      </c>
      <c r="AF24" t="e">
        <f>AND(#REF!,"AAAAAD64rx8=")</f>
        <v>#REF!</v>
      </c>
      <c r="AG24" t="e">
        <f>AND(#REF!,"AAAAAD64ryA=")</f>
        <v>#REF!</v>
      </c>
      <c r="AH24" t="e">
        <f>AND(#REF!,"AAAAAD64ryE=")</f>
        <v>#REF!</v>
      </c>
      <c r="AI24" t="e">
        <f>AND(#REF!,"AAAAAD64ryI=")</f>
        <v>#REF!</v>
      </c>
      <c r="AJ24" t="e">
        <f>AND(#REF!,"AAAAAD64ryM=")</f>
        <v>#REF!</v>
      </c>
      <c r="AK24" t="e">
        <f>AND(#REF!,"AAAAAD64ryQ=")</f>
        <v>#REF!</v>
      </c>
      <c r="AL24" t="e">
        <f>AND(#REF!,"AAAAAD64ryU=")</f>
        <v>#REF!</v>
      </c>
      <c r="AM24" t="e">
        <f>AND(#REF!,"AAAAAD64ryY=")</f>
        <v>#REF!</v>
      </c>
      <c r="AN24" t="e">
        <f>AND(#REF!,"AAAAAD64ryc=")</f>
        <v>#REF!</v>
      </c>
      <c r="AO24" t="e">
        <f>AND(#REF!,"AAAAAD64ryg=")</f>
        <v>#REF!</v>
      </c>
      <c r="AP24" t="e">
        <f>AND(#REF!,"AAAAAD64ryk=")</f>
        <v>#REF!</v>
      </c>
      <c r="AQ24" t="e">
        <f>AND(#REF!,"AAAAAD64ryo=")</f>
        <v>#REF!</v>
      </c>
      <c r="AR24" t="e">
        <f>AND(#REF!,"AAAAAD64rys=")</f>
        <v>#REF!</v>
      </c>
      <c r="AS24" t="e">
        <f>AND(#REF!,"AAAAAD64ryw=")</f>
        <v>#REF!</v>
      </c>
      <c r="AT24" t="e">
        <f>AND(#REF!,"AAAAAD64ry0=")</f>
        <v>#REF!</v>
      </c>
      <c r="AU24" t="e">
        <f>AND(#REF!,"AAAAAD64ry4=")</f>
        <v>#REF!</v>
      </c>
      <c r="AV24" t="e">
        <f>AND(#REF!,"AAAAAD64ry8=")</f>
        <v>#REF!</v>
      </c>
      <c r="AW24" t="e">
        <f>AND(#REF!,"AAAAAD64rzA=")</f>
        <v>#REF!</v>
      </c>
      <c r="AX24" t="e">
        <f>IF(#REF!,"AAAAAD64rzE=",0)</f>
        <v>#REF!</v>
      </c>
      <c r="AY24" t="e">
        <f>AND(#REF!,"AAAAAD64rzI=")</f>
        <v>#REF!</v>
      </c>
      <c r="AZ24" t="e">
        <f>AND(#REF!,"AAAAAD64rzM=")</f>
        <v>#REF!</v>
      </c>
      <c r="BA24" t="e">
        <f>AND(#REF!,"AAAAAD64rzQ=")</f>
        <v>#REF!</v>
      </c>
      <c r="BB24" t="e">
        <f>AND(#REF!,"AAAAAD64rzU=")</f>
        <v>#REF!</v>
      </c>
      <c r="BC24" t="e">
        <f>AND(#REF!,"AAAAAD64rzY=")</f>
        <v>#REF!</v>
      </c>
      <c r="BD24" t="e">
        <f>AND(#REF!,"AAAAAD64rzc=")</f>
        <v>#REF!</v>
      </c>
      <c r="BE24" t="e">
        <f>AND(#REF!,"AAAAAD64rzg=")</f>
        <v>#REF!</v>
      </c>
      <c r="BF24" t="e">
        <f>AND(#REF!,"AAAAAD64rzk=")</f>
        <v>#REF!</v>
      </c>
      <c r="BG24" t="e">
        <f>AND(#REF!,"AAAAAD64rzo=")</f>
        <v>#REF!</v>
      </c>
      <c r="BH24" t="e">
        <f>AND(#REF!,"AAAAAD64rzs=")</f>
        <v>#REF!</v>
      </c>
      <c r="BI24" t="e">
        <f>AND(#REF!,"AAAAAD64rzw=")</f>
        <v>#REF!</v>
      </c>
      <c r="BJ24" t="e">
        <f>AND(#REF!,"AAAAAD64rz0=")</f>
        <v>#REF!</v>
      </c>
      <c r="BK24" t="e">
        <f>AND(#REF!,"AAAAAD64rz4=")</f>
        <v>#REF!</v>
      </c>
      <c r="BL24" t="e">
        <f>AND(#REF!,"AAAAAD64rz8=")</f>
        <v>#REF!</v>
      </c>
      <c r="BM24" t="e">
        <f>AND(#REF!,"AAAAAD64r0A=")</f>
        <v>#REF!</v>
      </c>
      <c r="BN24" t="e">
        <f>AND(#REF!,"AAAAAD64r0E=")</f>
        <v>#REF!</v>
      </c>
      <c r="BO24" t="e">
        <f>AND(#REF!,"AAAAAD64r0I=")</f>
        <v>#REF!</v>
      </c>
      <c r="BP24" t="e">
        <f>AND(#REF!,"AAAAAD64r0M=")</f>
        <v>#REF!</v>
      </c>
      <c r="BQ24" t="e">
        <f>IF(#REF!,"AAAAAD64r0Q=",0)</f>
        <v>#REF!</v>
      </c>
      <c r="BR24" t="e">
        <f>AND(#REF!,"AAAAAD64r0U=")</f>
        <v>#REF!</v>
      </c>
      <c r="BS24" t="e">
        <f>AND(#REF!,"AAAAAD64r0Y=")</f>
        <v>#REF!</v>
      </c>
      <c r="BT24" t="e">
        <f>AND(#REF!,"AAAAAD64r0c=")</f>
        <v>#REF!</v>
      </c>
      <c r="BU24" t="e">
        <f>AND(#REF!,"AAAAAD64r0g=")</f>
        <v>#REF!</v>
      </c>
      <c r="BV24" t="e">
        <f>AND(#REF!,"AAAAAD64r0k=")</f>
        <v>#REF!</v>
      </c>
      <c r="BW24" t="e">
        <f>AND(#REF!,"AAAAAD64r0o=")</f>
        <v>#REF!</v>
      </c>
      <c r="BX24" t="e">
        <f>AND(#REF!,"AAAAAD64r0s=")</f>
        <v>#REF!</v>
      </c>
      <c r="BY24" t="e">
        <f>AND(#REF!,"AAAAAD64r0w=")</f>
        <v>#REF!</v>
      </c>
      <c r="BZ24" t="e">
        <f>AND(#REF!,"AAAAAD64r00=")</f>
        <v>#REF!</v>
      </c>
      <c r="CA24" t="e">
        <f>AND(#REF!,"AAAAAD64r04=")</f>
        <v>#REF!</v>
      </c>
      <c r="CB24" t="e">
        <f>AND(#REF!,"AAAAAD64r08=")</f>
        <v>#REF!</v>
      </c>
      <c r="CC24" t="e">
        <f>AND(#REF!,"AAAAAD64r1A=")</f>
        <v>#REF!</v>
      </c>
      <c r="CD24" t="e">
        <f>AND(#REF!,"AAAAAD64r1E=")</f>
        <v>#REF!</v>
      </c>
      <c r="CE24" t="e">
        <f>AND(#REF!,"AAAAAD64r1I=")</f>
        <v>#REF!</v>
      </c>
      <c r="CF24" t="e">
        <f>AND(#REF!,"AAAAAD64r1M=")</f>
        <v>#REF!</v>
      </c>
      <c r="CG24" t="e">
        <f>AND(#REF!,"AAAAAD64r1Q=")</f>
        <v>#REF!</v>
      </c>
      <c r="CH24" t="e">
        <f>AND(#REF!,"AAAAAD64r1U=")</f>
        <v>#REF!</v>
      </c>
      <c r="CI24" t="e">
        <f>AND(#REF!,"AAAAAD64r1Y=")</f>
        <v>#REF!</v>
      </c>
      <c r="CJ24" t="e">
        <f>IF(#REF!,"AAAAAD64r1c=",0)</f>
        <v>#REF!</v>
      </c>
      <c r="CK24" t="e">
        <f>AND(#REF!,"AAAAAD64r1g=")</f>
        <v>#REF!</v>
      </c>
      <c r="CL24" t="e">
        <f>AND(#REF!,"AAAAAD64r1k=")</f>
        <v>#REF!</v>
      </c>
      <c r="CM24" t="e">
        <f>AND(#REF!,"AAAAAD64r1o=")</f>
        <v>#REF!</v>
      </c>
      <c r="CN24" t="e">
        <f>AND(#REF!,"AAAAAD64r1s=")</f>
        <v>#REF!</v>
      </c>
      <c r="CO24" t="e">
        <f>AND(#REF!,"AAAAAD64r1w=")</f>
        <v>#REF!</v>
      </c>
      <c r="CP24" t="e">
        <f>AND(#REF!,"AAAAAD64r10=")</f>
        <v>#REF!</v>
      </c>
      <c r="CQ24" t="e">
        <f>AND(#REF!,"AAAAAD64r14=")</f>
        <v>#REF!</v>
      </c>
      <c r="CR24" t="e">
        <f>AND(#REF!,"AAAAAD64r18=")</f>
        <v>#REF!</v>
      </c>
      <c r="CS24" t="e">
        <f>AND(#REF!,"AAAAAD64r2A=")</f>
        <v>#REF!</v>
      </c>
      <c r="CT24" t="e">
        <f>AND(#REF!,"AAAAAD64r2E=")</f>
        <v>#REF!</v>
      </c>
      <c r="CU24" t="e">
        <f>AND(#REF!,"AAAAAD64r2I=")</f>
        <v>#REF!</v>
      </c>
      <c r="CV24" t="e">
        <f>AND(#REF!,"AAAAAD64r2M=")</f>
        <v>#REF!</v>
      </c>
      <c r="CW24" t="e">
        <f>AND(#REF!,"AAAAAD64r2Q=")</f>
        <v>#REF!</v>
      </c>
      <c r="CX24" t="e">
        <f>AND(#REF!,"AAAAAD64r2U=")</f>
        <v>#REF!</v>
      </c>
      <c r="CY24" t="e">
        <f>AND(#REF!,"AAAAAD64r2Y=")</f>
        <v>#REF!</v>
      </c>
      <c r="CZ24" t="e">
        <f>AND(#REF!,"AAAAAD64r2c=")</f>
        <v>#REF!</v>
      </c>
      <c r="DA24" t="e">
        <f>AND(#REF!,"AAAAAD64r2g=")</f>
        <v>#REF!</v>
      </c>
      <c r="DB24" t="e">
        <f>AND(#REF!,"AAAAAD64r2k=")</f>
        <v>#REF!</v>
      </c>
      <c r="DC24" t="e">
        <f>IF(#REF!,"AAAAAD64r2o=",0)</f>
        <v>#REF!</v>
      </c>
      <c r="DD24" t="e">
        <f>AND(#REF!,"AAAAAD64r2s=")</f>
        <v>#REF!</v>
      </c>
      <c r="DE24" t="e">
        <f>AND(#REF!,"AAAAAD64r2w=")</f>
        <v>#REF!</v>
      </c>
      <c r="DF24" t="e">
        <f>AND(#REF!,"AAAAAD64r20=")</f>
        <v>#REF!</v>
      </c>
      <c r="DG24" t="e">
        <f>AND(#REF!,"AAAAAD64r24=")</f>
        <v>#REF!</v>
      </c>
      <c r="DH24" t="e">
        <f>AND(#REF!,"AAAAAD64r28=")</f>
        <v>#REF!</v>
      </c>
      <c r="DI24" t="e">
        <f>AND(#REF!,"AAAAAD64r3A=")</f>
        <v>#REF!</v>
      </c>
      <c r="DJ24" t="e">
        <f>AND(#REF!,"AAAAAD64r3E=")</f>
        <v>#REF!</v>
      </c>
      <c r="DK24" t="e">
        <f>AND(#REF!,"AAAAAD64r3I=")</f>
        <v>#REF!</v>
      </c>
      <c r="DL24" t="e">
        <f>AND(#REF!,"AAAAAD64r3M=")</f>
        <v>#REF!</v>
      </c>
      <c r="DM24" t="e">
        <f>AND(#REF!,"AAAAAD64r3Q=")</f>
        <v>#REF!</v>
      </c>
      <c r="DN24" t="e">
        <f>AND(#REF!,"AAAAAD64r3U=")</f>
        <v>#REF!</v>
      </c>
      <c r="DO24" t="e">
        <f>AND(#REF!,"AAAAAD64r3Y=")</f>
        <v>#REF!</v>
      </c>
      <c r="DP24" t="e">
        <f>AND(#REF!,"AAAAAD64r3c=")</f>
        <v>#REF!</v>
      </c>
      <c r="DQ24" t="e">
        <f>AND(#REF!,"AAAAAD64r3g=")</f>
        <v>#REF!</v>
      </c>
      <c r="DR24" t="e">
        <f>AND(#REF!,"AAAAAD64r3k=")</f>
        <v>#REF!</v>
      </c>
      <c r="DS24" t="e">
        <f>AND(#REF!,"AAAAAD64r3o=")</f>
        <v>#REF!</v>
      </c>
      <c r="DT24" t="e">
        <f>AND(#REF!,"AAAAAD64r3s=")</f>
        <v>#REF!</v>
      </c>
      <c r="DU24" t="e">
        <f>AND(#REF!,"AAAAAD64r3w=")</f>
        <v>#REF!</v>
      </c>
      <c r="DV24" t="e">
        <f>IF(#REF!,"AAAAAD64r30=",0)</f>
        <v>#REF!</v>
      </c>
      <c r="DW24" t="e">
        <f>AND(#REF!,"AAAAAD64r34=")</f>
        <v>#REF!</v>
      </c>
      <c r="DX24" t="e">
        <f>AND(#REF!,"AAAAAD64r38=")</f>
        <v>#REF!</v>
      </c>
      <c r="DY24" t="e">
        <f>AND(#REF!,"AAAAAD64r4A=")</f>
        <v>#REF!</v>
      </c>
      <c r="DZ24" t="e">
        <f>AND(#REF!,"AAAAAD64r4E=")</f>
        <v>#REF!</v>
      </c>
      <c r="EA24" t="e">
        <f>AND(#REF!,"AAAAAD64r4I=")</f>
        <v>#REF!</v>
      </c>
      <c r="EB24" t="e">
        <f>AND(#REF!,"AAAAAD64r4M=")</f>
        <v>#REF!</v>
      </c>
      <c r="EC24" t="e">
        <f>AND(#REF!,"AAAAAD64r4Q=")</f>
        <v>#REF!</v>
      </c>
      <c r="ED24" t="e">
        <f>AND(#REF!,"AAAAAD64r4U=")</f>
        <v>#REF!</v>
      </c>
      <c r="EE24" t="e">
        <f>AND(#REF!,"AAAAAD64r4Y=")</f>
        <v>#REF!</v>
      </c>
      <c r="EF24" t="e">
        <f>AND(#REF!,"AAAAAD64r4c=")</f>
        <v>#REF!</v>
      </c>
      <c r="EG24" t="e">
        <f>AND(#REF!,"AAAAAD64r4g=")</f>
        <v>#REF!</v>
      </c>
      <c r="EH24" t="e">
        <f>AND(#REF!,"AAAAAD64r4k=")</f>
        <v>#REF!</v>
      </c>
      <c r="EI24" t="e">
        <f>AND(#REF!,"AAAAAD64r4o=")</f>
        <v>#REF!</v>
      </c>
      <c r="EJ24" t="e">
        <f>AND(#REF!,"AAAAAD64r4s=")</f>
        <v>#REF!</v>
      </c>
      <c r="EK24" t="e">
        <f>AND(#REF!,"AAAAAD64r4w=")</f>
        <v>#REF!</v>
      </c>
      <c r="EL24" t="e">
        <f>AND(#REF!,"AAAAAD64r40=")</f>
        <v>#REF!</v>
      </c>
      <c r="EM24" t="e">
        <f>AND(#REF!,"AAAAAD64r44=")</f>
        <v>#REF!</v>
      </c>
      <c r="EN24" t="e">
        <f>AND(#REF!,"AAAAAD64r48=")</f>
        <v>#REF!</v>
      </c>
      <c r="EO24" t="e">
        <f>IF(#REF!,"AAAAAD64r5A=",0)</f>
        <v>#REF!</v>
      </c>
      <c r="EP24" t="e">
        <f>AND(#REF!,"AAAAAD64r5E=")</f>
        <v>#REF!</v>
      </c>
      <c r="EQ24" t="e">
        <f>AND(#REF!,"AAAAAD64r5I=")</f>
        <v>#REF!</v>
      </c>
      <c r="ER24" t="e">
        <f>AND(#REF!,"AAAAAD64r5M=")</f>
        <v>#REF!</v>
      </c>
      <c r="ES24" t="e">
        <f>AND(#REF!,"AAAAAD64r5Q=")</f>
        <v>#REF!</v>
      </c>
      <c r="ET24" t="e">
        <f>AND(#REF!,"AAAAAD64r5U=")</f>
        <v>#REF!</v>
      </c>
      <c r="EU24" t="e">
        <f>AND(#REF!,"AAAAAD64r5Y=")</f>
        <v>#REF!</v>
      </c>
      <c r="EV24" t="e">
        <f>AND(#REF!,"AAAAAD64r5c=")</f>
        <v>#REF!</v>
      </c>
      <c r="EW24" t="e">
        <f>AND(#REF!,"AAAAAD64r5g=")</f>
        <v>#REF!</v>
      </c>
      <c r="EX24" t="e">
        <f>AND(#REF!,"AAAAAD64r5k=")</f>
        <v>#REF!</v>
      </c>
      <c r="EY24" t="e">
        <f>AND(#REF!,"AAAAAD64r5o=")</f>
        <v>#REF!</v>
      </c>
      <c r="EZ24" t="e">
        <f>AND(#REF!,"AAAAAD64r5s=")</f>
        <v>#REF!</v>
      </c>
      <c r="FA24" t="e">
        <f>AND(#REF!,"AAAAAD64r5w=")</f>
        <v>#REF!</v>
      </c>
      <c r="FB24" t="e">
        <f>AND(#REF!,"AAAAAD64r50=")</f>
        <v>#REF!</v>
      </c>
      <c r="FC24" t="e">
        <f>AND(#REF!,"AAAAAD64r54=")</f>
        <v>#REF!</v>
      </c>
      <c r="FD24" t="e">
        <f>AND(#REF!,"AAAAAD64r58=")</f>
        <v>#REF!</v>
      </c>
      <c r="FE24" t="e">
        <f>AND(#REF!,"AAAAAD64r6A=")</f>
        <v>#REF!</v>
      </c>
      <c r="FF24" t="e">
        <f>AND(#REF!,"AAAAAD64r6E=")</f>
        <v>#REF!</v>
      </c>
      <c r="FG24" t="e">
        <f>AND(#REF!,"AAAAAD64r6I=")</f>
        <v>#REF!</v>
      </c>
      <c r="FH24" t="e">
        <f>IF(#REF!,"AAAAAD64r6M=",0)</f>
        <v>#REF!</v>
      </c>
      <c r="FI24" t="e">
        <f>IF(#REF!,"AAAAAD64r6Q=",0)</f>
        <v>#REF!</v>
      </c>
      <c r="FJ24" t="e">
        <f>IF(#REF!,"AAAAAD64r6U=",0)</f>
        <v>#REF!</v>
      </c>
      <c r="FK24" t="e">
        <f>IF(#REF!,"AAAAAD64r6Y=",0)</f>
        <v>#REF!</v>
      </c>
      <c r="FL24" t="e">
        <f>IF(#REF!,"AAAAAD64r6c=",0)</f>
        <v>#REF!</v>
      </c>
      <c r="FM24" t="e">
        <f>IF(#REF!,"AAAAAD64r6g=",0)</f>
        <v>#REF!</v>
      </c>
      <c r="FN24" t="e">
        <f>IF(#REF!,"AAAAAD64r6k=",0)</f>
        <v>#REF!</v>
      </c>
      <c r="FO24" t="e">
        <f>IF(#REF!,"AAAAAD64r6o=",0)</f>
        <v>#REF!</v>
      </c>
      <c r="FP24" t="e">
        <f>IF(#REF!,"AAAAAD64r6s=",0)</f>
        <v>#REF!</v>
      </c>
      <c r="FQ24" t="e">
        <f>IF(#REF!,"AAAAAD64r6w=",0)</f>
        <v>#REF!</v>
      </c>
      <c r="FR24" t="e">
        <f>IF(#REF!,"AAAAAD64r60=",0)</f>
        <v>#REF!</v>
      </c>
      <c r="FS24" t="e">
        <f>IF(#REF!,"AAAAAD64r64=",0)</f>
        <v>#REF!</v>
      </c>
      <c r="FT24" t="e">
        <f>IF(#REF!,"AAAAAD64r68=",0)</f>
        <v>#REF!</v>
      </c>
      <c r="FU24" t="e">
        <f>IF(#REF!,"AAAAAD64r7A=",0)</f>
        <v>#REF!</v>
      </c>
      <c r="FV24" t="e">
        <f>IF(#REF!,"AAAAAD64r7E=",0)</f>
        <v>#REF!</v>
      </c>
      <c r="FW24" t="e">
        <f>IF(#REF!,"AAAAAD64r7I=",0)</f>
        <v>#REF!</v>
      </c>
      <c r="FX24" t="e">
        <f>IF(#REF!,"AAAAAD64r7M=",0)</f>
        <v>#REF!</v>
      </c>
      <c r="FY24" t="e">
        <f>IF(#REF!,"AAAAAD64r7Q=",0)</f>
        <v>#REF!</v>
      </c>
      <c r="FZ24" t="e">
        <f>IF(#REF!,"AAAAAD64r7U=",0)</f>
        <v>#REF!</v>
      </c>
      <c r="GA24" t="e">
        <f>IF(#REF!,"AAAAAD64r7Y=",0)</f>
        <v>#REF!</v>
      </c>
      <c r="GB24" t="e">
        <f>IF(#REF!,"AAAAAD64r7c=",0)</f>
        <v>#REF!</v>
      </c>
      <c r="GC24" t="e">
        <f>IF(#REF!,"AAAAAD64r7g=",0)</f>
        <v>#REF!</v>
      </c>
      <c r="GD24" t="e">
        <f>IF(#REF!,"AAAAAD64r7k=",0)</f>
        <v>#REF!</v>
      </c>
      <c r="GE24" t="e">
        <f>AND(#REF!,"AAAAAD64r7o=")</f>
        <v>#REF!</v>
      </c>
      <c r="GF24" t="e">
        <f>AND(#REF!,"AAAAAD64r7s=")</f>
        <v>#REF!</v>
      </c>
      <c r="GG24" t="e">
        <f>AND(#REF!,"AAAAAD64r7w=")</f>
        <v>#REF!</v>
      </c>
      <c r="GH24" t="e">
        <f>AND(#REF!,"AAAAAD64r70=")</f>
        <v>#REF!</v>
      </c>
      <c r="GI24" t="e">
        <f>AND(#REF!,"AAAAAD64r74=")</f>
        <v>#REF!</v>
      </c>
      <c r="GJ24" t="e">
        <f>AND(#REF!,"AAAAAD64r78=")</f>
        <v>#REF!</v>
      </c>
      <c r="GK24" t="e">
        <f>AND(#REF!,"AAAAAD64r8A=")</f>
        <v>#REF!</v>
      </c>
      <c r="GL24" t="e">
        <f>AND(#REF!,"AAAAAD64r8E=")</f>
        <v>#REF!</v>
      </c>
      <c r="GM24" t="e">
        <f>AND(#REF!,"AAAAAD64r8I=")</f>
        <v>#REF!</v>
      </c>
      <c r="GN24" t="e">
        <f>AND(#REF!,"AAAAAD64r8M=")</f>
        <v>#REF!</v>
      </c>
      <c r="GO24" t="e">
        <f>IF(#REF!,"AAAAAD64r8Q=",0)</f>
        <v>#REF!</v>
      </c>
      <c r="GP24" t="e">
        <f>AND(#REF!,"AAAAAD64r8U=")</f>
        <v>#REF!</v>
      </c>
      <c r="GQ24" t="e">
        <f>AND(#REF!,"AAAAAD64r8Y=")</f>
        <v>#REF!</v>
      </c>
      <c r="GR24" t="e">
        <f>AND(#REF!,"AAAAAD64r8c=")</f>
        <v>#REF!</v>
      </c>
      <c r="GS24" t="e">
        <f>AND(#REF!,"AAAAAD64r8g=")</f>
        <v>#REF!</v>
      </c>
      <c r="GT24" t="e">
        <f>AND(#REF!,"AAAAAD64r8k=")</f>
        <v>#REF!</v>
      </c>
      <c r="GU24" t="e">
        <f>AND(#REF!,"AAAAAD64r8o=")</f>
        <v>#REF!</v>
      </c>
      <c r="GV24" t="e">
        <f>AND(#REF!,"AAAAAD64r8s=")</f>
        <v>#REF!</v>
      </c>
      <c r="GW24" t="e">
        <f>AND(#REF!,"AAAAAD64r8w=")</f>
        <v>#REF!</v>
      </c>
      <c r="GX24" t="e">
        <f>AND(#REF!,"AAAAAD64r80=")</f>
        <v>#REF!</v>
      </c>
      <c r="GY24" t="e">
        <f>AND(#REF!,"AAAAAD64r84=")</f>
        <v>#REF!</v>
      </c>
      <c r="GZ24" t="e">
        <f>IF(#REF!,"AAAAAD64r88=",0)</f>
        <v>#REF!</v>
      </c>
      <c r="HA24" t="e">
        <f>AND(#REF!,"AAAAAD64r9A=")</f>
        <v>#REF!</v>
      </c>
      <c r="HB24" t="e">
        <f>AND(#REF!,"AAAAAD64r9E=")</f>
        <v>#REF!</v>
      </c>
      <c r="HC24" t="e">
        <f>AND(#REF!,"AAAAAD64r9I=")</f>
        <v>#REF!</v>
      </c>
      <c r="HD24" t="e">
        <f>AND(#REF!,"AAAAAD64r9M=")</f>
        <v>#REF!</v>
      </c>
      <c r="HE24" t="e">
        <f>AND(#REF!,"AAAAAD64r9Q=")</f>
        <v>#REF!</v>
      </c>
      <c r="HF24" t="e">
        <f>AND(#REF!,"AAAAAD64r9U=")</f>
        <v>#REF!</v>
      </c>
      <c r="HG24" t="e">
        <f>AND(#REF!,"AAAAAD64r9Y=")</f>
        <v>#REF!</v>
      </c>
      <c r="HH24" t="e">
        <f>AND(#REF!,"AAAAAD64r9c=")</f>
        <v>#REF!</v>
      </c>
      <c r="HI24" t="e">
        <f>AND(#REF!,"AAAAAD64r9g=")</f>
        <v>#REF!</v>
      </c>
      <c r="HJ24" t="e">
        <f>AND(#REF!,"AAAAAD64r9k=")</f>
        <v>#REF!</v>
      </c>
      <c r="HK24" t="e">
        <f>IF(#REF!,"AAAAAD64r9o=",0)</f>
        <v>#REF!</v>
      </c>
      <c r="HL24" t="e">
        <f>AND(#REF!,"AAAAAD64r9s=")</f>
        <v>#REF!</v>
      </c>
      <c r="HM24" t="e">
        <f>AND(#REF!,"AAAAAD64r9w=")</f>
        <v>#REF!</v>
      </c>
      <c r="HN24" t="e">
        <f>AND(#REF!,"AAAAAD64r90=")</f>
        <v>#REF!</v>
      </c>
      <c r="HO24" t="e">
        <f>AND(#REF!,"AAAAAD64r94=")</f>
        <v>#REF!</v>
      </c>
      <c r="HP24" t="e">
        <f>AND(#REF!,"AAAAAD64r98=")</f>
        <v>#REF!</v>
      </c>
      <c r="HQ24" t="e">
        <f>AND(#REF!,"AAAAAD64r+A=")</f>
        <v>#REF!</v>
      </c>
      <c r="HR24" t="e">
        <f>AND(#REF!,"AAAAAD64r+E=")</f>
        <v>#REF!</v>
      </c>
      <c r="HS24" t="e">
        <f>AND(#REF!,"AAAAAD64r+I=")</f>
        <v>#REF!</v>
      </c>
      <c r="HT24" t="e">
        <f>AND(#REF!,"AAAAAD64r+M=")</f>
        <v>#REF!</v>
      </c>
      <c r="HU24" t="e">
        <f>AND(#REF!,"AAAAAD64r+Q=")</f>
        <v>#REF!</v>
      </c>
      <c r="HV24" t="e">
        <f>IF(#REF!,"AAAAAD64r+U=",0)</f>
        <v>#REF!</v>
      </c>
      <c r="HW24" t="e">
        <f>AND(#REF!,"AAAAAD64r+Y=")</f>
        <v>#REF!</v>
      </c>
      <c r="HX24" t="e">
        <f>AND(#REF!,"AAAAAD64r+c=")</f>
        <v>#REF!</v>
      </c>
      <c r="HY24" t="e">
        <f>AND(#REF!,"AAAAAD64r+g=")</f>
        <v>#REF!</v>
      </c>
      <c r="HZ24" t="e">
        <f>AND(#REF!,"AAAAAD64r+k=")</f>
        <v>#REF!</v>
      </c>
      <c r="IA24" t="e">
        <f>AND(#REF!,"AAAAAD64r+o=")</f>
        <v>#REF!</v>
      </c>
      <c r="IB24" t="e">
        <f>AND(#REF!,"AAAAAD64r+s=")</f>
        <v>#REF!</v>
      </c>
      <c r="IC24" t="e">
        <f>AND(#REF!,"AAAAAD64r+w=")</f>
        <v>#REF!</v>
      </c>
      <c r="ID24" t="e">
        <f>AND(#REF!,"AAAAAD64r+0=")</f>
        <v>#REF!</v>
      </c>
      <c r="IE24" t="e">
        <f>AND(#REF!,"AAAAAD64r+4=")</f>
        <v>#REF!</v>
      </c>
      <c r="IF24" t="e">
        <f>AND(#REF!,"AAAAAD64r+8=")</f>
        <v>#REF!</v>
      </c>
      <c r="IG24" t="e">
        <f>IF(#REF!,"AAAAAD64r/A=",0)</f>
        <v>#REF!</v>
      </c>
      <c r="IH24" t="e">
        <f>AND(#REF!,"AAAAAD64r/E=")</f>
        <v>#REF!</v>
      </c>
      <c r="II24" t="e">
        <f>AND(#REF!,"AAAAAD64r/I=")</f>
        <v>#REF!</v>
      </c>
      <c r="IJ24" t="e">
        <f>AND(#REF!,"AAAAAD64r/M=")</f>
        <v>#REF!</v>
      </c>
      <c r="IK24" t="e">
        <f>AND(#REF!,"AAAAAD64r/Q=")</f>
        <v>#REF!</v>
      </c>
      <c r="IL24" t="e">
        <f>AND(#REF!,"AAAAAD64r/U=")</f>
        <v>#REF!</v>
      </c>
      <c r="IM24" t="e">
        <f>AND(#REF!,"AAAAAD64r/Y=")</f>
        <v>#REF!</v>
      </c>
      <c r="IN24" t="e">
        <f>AND(#REF!,"AAAAAD64r/c=")</f>
        <v>#REF!</v>
      </c>
      <c r="IO24" t="e">
        <f>AND(#REF!,"AAAAAD64r/g=")</f>
        <v>#REF!</v>
      </c>
      <c r="IP24" t="e">
        <f>AND(#REF!,"AAAAAD64r/k=")</f>
        <v>#REF!</v>
      </c>
      <c r="IQ24" t="e">
        <f>AND(#REF!,"AAAAAD64r/o=")</f>
        <v>#REF!</v>
      </c>
      <c r="IR24" t="e">
        <f>IF(#REF!,"AAAAAD64r/s=",0)</f>
        <v>#REF!</v>
      </c>
      <c r="IS24" t="e">
        <f>AND(#REF!,"AAAAAD64r/w=")</f>
        <v>#REF!</v>
      </c>
      <c r="IT24" t="e">
        <f>AND(#REF!,"AAAAAD64r/0=")</f>
        <v>#REF!</v>
      </c>
      <c r="IU24" t="e">
        <f>AND(#REF!,"AAAAAD64r/4=")</f>
        <v>#REF!</v>
      </c>
      <c r="IV24" t="e">
        <f>AND(#REF!,"AAAAAD64r/8=")</f>
        <v>#REF!</v>
      </c>
    </row>
    <row r="25" spans="1:256" ht="12.75">
      <c r="A25" t="e">
        <f>AND(#REF!,"AAAAADm+/wA=")</f>
        <v>#REF!</v>
      </c>
      <c r="B25" t="e">
        <f>AND(#REF!,"AAAAADm+/wE=")</f>
        <v>#REF!</v>
      </c>
      <c r="C25" t="e">
        <f>AND(#REF!,"AAAAADm+/wI=")</f>
        <v>#REF!</v>
      </c>
      <c r="D25" t="e">
        <f>AND(#REF!,"AAAAADm+/wM=")</f>
        <v>#REF!</v>
      </c>
      <c r="E25" t="e">
        <f>AND(#REF!,"AAAAADm+/wQ=")</f>
        <v>#REF!</v>
      </c>
      <c r="F25" t="e">
        <f>AND(#REF!,"AAAAADm+/wU=")</f>
        <v>#REF!</v>
      </c>
      <c r="G25" t="e">
        <f>IF(#REF!,"AAAAADm+/wY=",0)</f>
        <v>#REF!</v>
      </c>
      <c r="H25" t="e">
        <f>AND(#REF!,"AAAAADm+/wc=")</f>
        <v>#REF!</v>
      </c>
      <c r="I25" t="e">
        <f>AND(#REF!,"AAAAADm+/wg=")</f>
        <v>#REF!</v>
      </c>
      <c r="J25" t="e">
        <f>AND(#REF!,"AAAAADm+/wk=")</f>
        <v>#REF!</v>
      </c>
      <c r="K25" t="e">
        <f>AND(#REF!,"AAAAADm+/wo=")</f>
        <v>#REF!</v>
      </c>
      <c r="L25" t="e">
        <f>AND(#REF!,"AAAAADm+/ws=")</f>
        <v>#REF!</v>
      </c>
      <c r="M25" t="e">
        <f>AND(#REF!,"AAAAADm+/ww=")</f>
        <v>#REF!</v>
      </c>
      <c r="N25" t="e">
        <f>AND(#REF!,"AAAAADm+/w0=")</f>
        <v>#REF!</v>
      </c>
      <c r="O25" t="e">
        <f>AND(#REF!,"AAAAADm+/w4=")</f>
        <v>#REF!</v>
      </c>
      <c r="P25" t="e">
        <f>AND(#REF!,"AAAAADm+/w8=")</f>
        <v>#REF!</v>
      </c>
      <c r="Q25" t="e">
        <f>AND(#REF!,"AAAAADm+/xA=")</f>
        <v>#REF!</v>
      </c>
      <c r="R25" t="e">
        <f>IF(#REF!,"AAAAADm+/xE=",0)</f>
        <v>#REF!</v>
      </c>
      <c r="S25" t="e">
        <f>AND(#REF!,"AAAAADm+/xI=")</f>
        <v>#REF!</v>
      </c>
      <c r="T25" t="e">
        <f>AND(#REF!,"AAAAADm+/xM=")</f>
        <v>#REF!</v>
      </c>
      <c r="U25" t="e">
        <f>AND(#REF!,"AAAAADm+/xQ=")</f>
        <v>#REF!</v>
      </c>
      <c r="V25" t="e">
        <f>AND(#REF!,"AAAAADm+/xU=")</f>
        <v>#REF!</v>
      </c>
      <c r="W25" t="e">
        <f>AND(#REF!,"AAAAADm+/xY=")</f>
        <v>#REF!</v>
      </c>
      <c r="X25" t="e">
        <f>AND(#REF!,"AAAAADm+/xc=")</f>
        <v>#REF!</v>
      </c>
      <c r="Y25" t="e">
        <f>AND(#REF!,"AAAAADm+/xg=")</f>
        <v>#REF!</v>
      </c>
      <c r="Z25" t="e">
        <f>AND(#REF!,"AAAAADm+/xk=")</f>
        <v>#REF!</v>
      </c>
      <c r="AA25" t="e">
        <f>AND(#REF!,"AAAAADm+/xo=")</f>
        <v>#REF!</v>
      </c>
      <c r="AB25" t="e">
        <f>AND(#REF!,"AAAAADm+/xs=")</f>
        <v>#REF!</v>
      </c>
      <c r="AC25" t="e">
        <f>IF(#REF!,"AAAAADm+/xw=",0)</f>
        <v>#REF!</v>
      </c>
      <c r="AD25" t="e">
        <f>AND(#REF!,"AAAAADm+/x0=")</f>
        <v>#REF!</v>
      </c>
      <c r="AE25" t="e">
        <f>AND(#REF!,"AAAAADm+/x4=")</f>
        <v>#REF!</v>
      </c>
      <c r="AF25" t="e">
        <f>AND(#REF!,"AAAAADm+/x8=")</f>
        <v>#REF!</v>
      </c>
      <c r="AG25" t="e">
        <f>AND(#REF!,"AAAAADm+/yA=")</f>
        <v>#REF!</v>
      </c>
      <c r="AH25" t="e">
        <f>AND(#REF!,"AAAAADm+/yE=")</f>
        <v>#REF!</v>
      </c>
      <c r="AI25" t="e">
        <f>AND(#REF!,"AAAAADm+/yI=")</f>
        <v>#REF!</v>
      </c>
      <c r="AJ25" t="e">
        <f>AND(#REF!,"AAAAADm+/yM=")</f>
        <v>#REF!</v>
      </c>
      <c r="AK25" t="e">
        <f>AND(#REF!,"AAAAADm+/yQ=")</f>
        <v>#REF!</v>
      </c>
      <c r="AL25" t="e">
        <f>AND(#REF!,"AAAAADm+/yU=")</f>
        <v>#REF!</v>
      </c>
      <c r="AM25" t="e">
        <f>AND(#REF!,"AAAAADm+/yY=")</f>
        <v>#REF!</v>
      </c>
      <c r="AN25" t="e">
        <f>IF(#REF!,"AAAAADm+/yc=",0)</f>
        <v>#REF!</v>
      </c>
      <c r="AO25" t="e">
        <f>AND(#REF!,"AAAAADm+/yg=")</f>
        <v>#REF!</v>
      </c>
      <c r="AP25" t="e">
        <f>AND(#REF!,"AAAAADm+/yk=")</f>
        <v>#REF!</v>
      </c>
      <c r="AQ25" t="e">
        <f>AND(#REF!,"AAAAADm+/yo=")</f>
        <v>#REF!</v>
      </c>
      <c r="AR25" t="e">
        <f>AND(#REF!,"AAAAADm+/ys=")</f>
        <v>#REF!</v>
      </c>
      <c r="AS25" t="e">
        <f>AND(#REF!,"AAAAADm+/yw=")</f>
        <v>#REF!</v>
      </c>
      <c r="AT25" t="e">
        <f>AND(#REF!,"AAAAADm+/y0=")</f>
        <v>#REF!</v>
      </c>
      <c r="AU25" t="e">
        <f>AND(#REF!,"AAAAADm+/y4=")</f>
        <v>#REF!</v>
      </c>
      <c r="AV25" t="e">
        <f>AND(#REF!,"AAAAADm+/y8=")</f>
        <v>#REF!</v>
      </c>
      <c r="AW25" t="e">
        <f>AND(#REF!,"AAAAADm+/zA=")</f>
        <v>#REF!</v>
      </c>
      <c r="AX25" t="e">
        <f>AND(#REF!,"AAAAADm+/zE=")</f>
        <v>#REF!</v>
      </c>
      <c r="AY25" t="e">
        <f>IF(#REF!,"AAAAADm+/zI=",0)</f>
        <v>#REF!</v>
      </c>
      <c r="AZ25" t="e">
        <f>AND(#REF!,"AAAAADm+/zM=")</f>
        <v>#REF!</v>
      </c>
      <c r="BA25" t="e">
        <f>AND(#REF!,"AAAAADm+/zQ=")</f>
        <v>#REF!</v>
      </c>
      <c r="BB25" t="e">
        <f>AND(#REF!,"AAAAADm+/zU=")</f>
        <v>#REF!</v>
      </c>
      <c r="BC25" t="e">
        <f>AND(#REF!,"AAAAADm+/zY=")</f>
        <v>#REF!</v>
      </c>
      <c r="BD25" t="e">
        <f>AND(#REF!,"AAAAADm+/zc=")</f>
        <v>#REF!</v>
      </c>
      <c r="BE25" t="e">
        <f>AND(#REF!,"AAAAADm+/zg=")</f>
        <v>#REF!</v>
      </c>
      <c r="BF25" t="e">
        <f>AND(#REF!,"AAAAADm+/zk=")</f>
        <v>#REF!</v>
      </c>
      <c r="BG25" t="e">
        <f>AND(#REF!,"AAAAADm+/zo=")</f>
        <v>#REF!</v>
      </c>
      <c r="BH25" t="e">
        <f>AND(#REF!,"AAAAADm+/zs=")</f>
        <v>#REF!</v>
      </c>
      <c r="BI25" t="e">
        <f>AND(#REF!,"AAAAADm+/zw=")</f>
        <v>#REF!</v>
      </c>
      <c r="BJ25" t="e">
        <f>IF(#REF!,"AAAAADm+/z0=",0)</f>
        <v>#REF!</v>
      </c>
      <c r="BK25" t="e">
        <f>AND(#REF!,"AAAAADm+/z4=")</f>
        <v>#REF!</v>
      </c>
      <c r="BL25" t="e">
        <f>AND(#REF!,"AAAAADm+/z8=")</f>
        <v>#REF!</v>
      </c>
      <c r="BM25" t="e">
        <f>AND(#REF!,"AAAAADm+/0A=")</f>
        <v>#REF!</v>
      </c>
      <c r="BN25" t="e">
        <f>AND(#REF!,"AAAAADm+/0E=")</f>
        <v>#REF!</v>
      </c>
      <c r="BO25" t="e">
        <f>AND(#REF!,"AAAAADm+/0I=")</f>
        <v>#REF!</v>
      </c>
      <c r="BP25" t="e">
        <f>AND(#REF!,"AAAAADm+/0M=")</f>
        <v>#REF!</v>
      </c>
      <c r="BQ25" t="e">
        <f>AND(#REF!,"AAAAADm+/0Q=")</f>
        <v>#REF!</v>
      </c>
      <c r="BR25" t="e">
        <f>AND(#REF!,"AAAAADm+/0U=")</f>
        <v>#REF!</v>
      </c>
      <c r="BS25" t="e">
        <f>AND(#REF!,"AAAAADm+/0Y=")</f>
        <v>#REF!</v>
      </c>
      <c r="BT25" t="e">
        <f>AND(#REF!,"AAAAADm+/0c=")</f>
        <v>#REF!</v>
      </c>
      <c r="BU25" t="e">
        <f>IF(#REF!,"AAAAADm+/0g=",0)</f>
        <v>#REF!</v>
      </c>
      <c r="BV25" t="e">
        <f>AND(#REF!,"AAAAADm+/0k=")</f>
        <v>#REF!</v>
      </c>
      <c r="BW25" t="e">
        <f>AND(#REF!,"AAAAADm+/0o=")</f>
        <v>#REF!</v>
      </c>
      <c r="BX25" t="e">
        <f>AND(#REF!,"AAAAADm+/0s=")</f>
        <v>#REF!</v>
      </c>
      <c r="BY25" t="e">
        <f>AND(#REF!,"AAAAADm+/0w=")</f>
        <v>#REF!</v>
      </c>
      <c r="BZ25" t="e">
        <f>AND(#REF!,"AAAAADm+/00=")</f>
        <v>#REF!</v>
      </c>
      <c r="CA25" t="e">
        <f>AND(#REF!,"AAAAADm+/04=")</f>
        <v>#REF!</v>
      </c>
      <c r="CB25" t="e">
        <f>AND(#REF!,"AAAAADm+/08=")</f>
        <v>#REF!</v>
      </c>
      <c r="CC25" t="e">
        <f>AND(#REF!,"AAAAADm+/1A=")</f>
        <v>#REF!</v>
      </c>
      <c r="CD25" t="e">
        <f>AND(#REF!,"AAAAADm+/1E=")</f>
        <v>#REF!</v>
      </c>
      <c r="CE25" t="e">
        <f>AND(#REF!,"AAAAADm+/1I=")</f>
        <v>#REF!</v>
      </c>
      <c r="CF25" t="e">
        <f>IF(#REF!,"AAAAADm+/1M=",0)</f>
        <v>#REF!</v>
      </c>
      <c r="CG25" t="e">
        <f>AND(#REF!,"AAAAADm+/1Q=")</f>
        <v>#REF!</v>
      </c>
      <c r="CH25" t="e">
        <f>AND(#REF!,"AAAAADm+/1U=")</f>
        <v>#REF!</v>
      </c>
      <c r="CI25" t="e">
        <f>AND(#REF!,"AAAAADm+/1Y=")</f>
        <v>#REF!</v>
      </c>
      <c r="CJ25" t="e">
        <f>AND(#REF!,"AAAAADm+/1c=")</f>
        <v>#REF!</v>
      </c>
      <c r="CK25" t="e">
        <f>AND(#REF!,"AAAAADm+/1g=")</f>
        <v>#REF!</v>
      </c>
      <c r="CL25" t="e">
        <f>AND(#REF!,"AAAAADm+/1k=")</f>
        <v>#REF!</v>
      </c>
      <c r="CM25" t="e">
        <f>AND(#REF!,"AAAAADm+/1o=")</f>
        <v>#REF!</v>
      </c>
      <c r="CN25" t="e">
        <f>AND(#REF!,"AAAAADm+/1s=")</f>
        <v>#REF!</v>
      </c>
      <c r="CO25" t="e">
        <f>AND(#REF!,"AAAAADm+/1w=")</f>
        <v>#REF!</v>
      </c>
      <c r="CP25" t="e">
        <f>AND(#REF!,"AAAAADm+/10=")</f>
        <v>#REF!</v>
      </c>
      <c r="CQ25" t="e">
        <f>IF(#REF!,"AAAAADm+/14=",0)</f>
        <v>#REF!</v>
      </c>
      <c r="CR25" t="e">
        <f>AND(#REF!,"AAAAADm+/18=")</f>
        <v>#REF!</v>
      </c>
      <c r="CS25" t="e">
        <f>AND(#REF!,"AAAAADm+/2A=")</f>
        <v>#REF!</v>
      </c>
      <c r="CT25" t="e">
        <f>AND(#REF!,"AAAAADm+/2E=")</f>
        <v>#REF!</v>
      </c>
      <c r="CU25" t="e">
        <f>AND(#REF!,"AAAAADm+/2I=")</f>
        <v>#REF!</v>
      </c>
      <c r="CV25" t="e">
        <f>AND(#REF!,"AAAAADm+/2M=")</f>
        <v>#REF!</v>
      </c>
      <c r="CW25" t="e">
        <f>AND(#REF!,"AAAAADm+/2Q=")</f>
        <v>#REF!</v>
      </c>
      <c r="CX25" t="e">
        <f>AND(#REF!,"AAAAADm+/2U=")</f>
        <v>#REF!</v>
      </c>
      <c r="CY25" t="e">
        <f>AND(#REF!,"AAAAADm+/2Y=")</f>
        <v>#REF!</v>
      </c>
      <c r="CZ25" t="e">
        <f>AND(#REF!,"AAAAADm+/2c=")</f>
        <v>#REF!</v>
      </c>
      <c r="DA25" t="e">
        <f>AND(#REF!,"AAAAADm+/2g=")</f>
        <v>#REF!</v>
      </c>
      <c r="DB25" t="e">
        <f>IF(#REF!,"AAAAADm+/2k=",0)</f>
        <v>#REF!</v>
      </c>
      <c r="DC25" t="e">
        <f>AND(#REF!,"AAAAADm+/2o=")</f>
        <v>#REF!</v>
      </c>
      <c r="DD25" t="e">
        <f>AND(#REF!,"AAAAADm+/2s=")</f>
        <v>#REF!</v>
      </c>
      <c r="DE25" t="e">
        <f>AND(#REF!,"AAAAADm+/2w=")</f>
        <v>#REF!</v>
      </c>
      <c r="DF25" t="e">
        <f>AND(#REF!,"AAAAADm+/20=")</f>
        <v>#REF!</v>
      </c>
      <c r="DG25" t="e">
        <f>AND(#REF!,"AAAAADm+/24=")</f>
        <v>#REF!</v>
      </c>
      <c r="DH25" t="e">
        <f>AND(#REF!,"AAAAADm+/28=")</f>
        <v>#REF!</v>
      </c>
      <c r="DI25" t="e">
        <f>AND(#REF!,"AAAAADm+/3A=")</f>
        <v>#REF!</v>
      </c>
      <c r="DJ25" t="e">
        <f>AND(#REF!,"AAAAADm+/3E=")</f>
        <v>#REF!</v>
      </c>
      <c r="DK25" t="e">
        <f>AND(#REF!,"AAAAADm+/3I=")</f>
        <v>#REF!</v>
      </c>
      <c r="DL25" t="e">
        <f>AND(#REF!,"AAAAADm+/3M=")</f>
        <v>#REF!</v>
      </c>
      <c r="DM25" t="e">
        <f>IF(#REF!,"AAAAADm+/3Q=",0)</f>
        <v>#REF!</v>
      </c>
      <c r="DN25" t="e">
        <f>AND(#REF!,"AAAAADm+/3U=")</f>
        <v>#REF!</v>
      </c>
      <c r="DO25" t="e">
        <f>AND(#REF!,"AAAAADm+/3Y=")</f>
        <v>#REF!</v>
      </c>
      <c r="DP25" t="e">
        <f>AND(#REF!,"AAAAADm+/3c=")</f>
        <v>#REF!</v>
      </c>
      <c r="DQ25" t="e">
        <f>AND(#REF!,"AAAAADm+/3g=")</f>
        <v>#REF!</v>
      </c>
      <c r="DR25" t="e">
        <f>AND(#REF!,"AAAAADm+/3k=")</f>
        <v>#REF!</v>
      </c>
      <c r="DS25" t="e">
        <f>AND(#REF!,"AAAAADm+/3o=")</f>
        <v>#REF!</v>
      </c>
      <c r="DT25" t="e">
        <f>AND(#REF!,"AAAAADm+/3s=")</f>
        <v>#REF!</v>
      </c>
      <c r="DU25" t="e">
        <f>AND(#REF!,"AAAAADm+/3w=")</f>
        <v>#REF!</v>
      </c>
      <c r="DV25" t="e">
        <f>AND(#REF!,"AAAAADm+/30=")</f>
        <v>#REF!</v>
      </c>
      <c r="DW25" t="e">
        <f>AND(#REF!,"AAAAADm+/34=")</f>
        <v>#REF!</v>
      </c>
      <c r="DX25" t="e">
        <f>IF(#REF!,"AAAAADm+/38=",0)</f>
        <v>#REF!</v>
      </c>
      <c r="DY25" t="e">
        <f>AND(#REF!,"AAAAADm+/4A=")</f>
        <v>#REF!</v>
      </c>
      <c r="DZ25" t="e">
        <f>AND(#REF!,"AAAAADm+/4E=")</f>
        <v>#REF!</v>
      </c>
      <c r="EA25" t="e">
        <f>AND(#REF!,"AAAAADm+/4I=")</f>
        <v>#REF!</v>
      </c>
      <c r="EB25" t="e">
        <f>AND(#REF!,"AAAAADm+/4M=")</f>
        <v>#REF!</v>
      </c>
      <c r="EC25" t="e">
        <f>AND(#REF!,"AAAAADm+/4Q=")</f>
        <v>#REF!</v>
      </c>
      <c r="ED25" t="e">
        <f>AND(#REF!,"AAAAADm+/4U=")</f>
        <v>#REF!</v>
      </c>
      <c r="EE25" t="e">
        <f>AND(#REF!,"AAAAADm+/4Y=")</f>
        <v>#REF!</v>
      </c>
      <c r="EF25" t="e">
        <f>AND(#REF!,"AAAAADm+/4c=")</f>
        <v>#REF!</v>
      </c>
      <c r="EG25" t="e">
        <f>AND(#REF!,"AAAAADm+/4g=")</f>
        <v>#REF!</v>
      </c>
      <c r="EH25" t="e">
        <f>AND(#REF!,"AAAAADm+/4k=")</f>
        <v>#REF!</v>
      </c>
      <c r="EI25" t="e">
        <f>IF(#REF!,"AAAAADm+/4o=",0)</f>
        <v>#REF!</v>
      </c>
      <c r="EJ25" t="e">
        <f>AND(#REF!,"AAAAADm+/4s=")</f>
        <v>#REF!</v>
      </c>
      <c r="EK25" t="e">
        <f>AND(#REF!,"AAAAADm+/4w=")</f>
        <v>#REF!</v>
      </c>
      <c r="EL25" t="e">
        <f>AND(#REF!,"AAAAADm+/40=")</f>
        <v>#REF!</v>
      </c>
      <c r="EM25" t="e">
        <f>AND(#REF!,"AAAAADm+/44=")</f>
        <v>#REF!</v>
      </c>
      <c r="EN25" t="e">
        <f>AND(#REF!,"AAAAADm+/48=")</f>
        <v>#REF!</v>
      </c>
      <c r="EO25" t="e">
        <f>AND(#REF!,"AAAAADm+/5A=")</f>
        <v>#REF!</v>
      </c>
      <c r="EP25" t="e">
        <f>AND(#REF!,"AAAAADm+/5E=")</f>
        <v>#REF!</v>
      </c>
      <c r="EQ25" t="e">
        <f>AND(#REF!,"AAAAADm+/5I=")</f>
        <v>#REF!</v>
      </c>
      <c r="ER25" t="e">
        <f>AND(#REF!,"AAAAADm+/5M=")</f>
        <v>#REF!</v>
      </c>
      <c r="ES25" t="e">
        <f>AND(#REF!,"AAAAADm+/5Q=")</f>
        <v>#REF!</v>
      </c>
      <c r="ET25" t="e">
        <f>IF(#REF!,"AAAAADm+/5U=",0)</f>
        <v>#REF!</v>
      </c>
      <c r="EU25" t="e">
        <f>AND(#REF!,"AAAAADm+/5Y=")</f>
        <v>#REF!</v>
      </c>
      <c r="EV25" t="e">
        <f>AND(#REF!,"AAAAADm+/5c=")</f>
        <v>#REF!</v>
      </c>
      <c r="EW25" t="e">
        <f>AND(#REF!,"AAAAADm+/5g=")</f>
        <v>#REF!</v>
      </c>
      <c r="EX25" t="e">
        <f>AND(#REF!,"AAAAADm+/5k=")</f>
        <v>#REF!</v>
      </c>
      <c r="EY25" t="e">
        <f>AND(#REF!,"AAAAADm+/5o=")</f>
        <v>#REF!</v>
      </c>
      <c r="EZ25" t="e">
        <f>AND(#REF!,"AAAAADm+/5s=")</f>
        <v>#REF!</v>
      </c>
      <c r="FA25" t="e">
        <f>AND(#REF!,"AAAAADm+/5w=")</f>
        <v>#REF!</v>
      </c>
      <c r="FB25" t="e">
        <f>AND(#REF!,"AAAAADm+/50=")</f>
        <v>#REF!</v>
      </c>
      <c r="FC25" t="e">
        <f>AND(#REF!,"AAAAADm+/54=")</f>
        <v>#REF!</v>
      </c>
      <c r="FD25" t="e">
        <f>AND(#REF!,"AAAAADm+/58=")</f>
        <v>#REF!</v>
      </c>
      <c r="FE25" t="e">
        <f>IF(#REF!,"AAAAADm+/6A=",0)</f>
        <v>#REF!</v>
      </c>
      <c r="FF25" t="e">
        <f>AND(#REF!,"AAAAADm+/6E=")</f>
        <v>#REF!</v>
      </c>
      <c r="FG25" t="e">
        <f>AND(#REF!,"AAAAADm+/6I=")</f>
        <v>#REF!</v>
      </c>
      <c r="FH25" t="e">
        <f>AND(#REF!,"AAAAADm+/6M=")</f>
        <v>#REF!</v>
      </c>
      <c r="FI25" t="e">
        <f>AND(#REF!,"AAAAADm+/6Q=")</f>
        <v>#REF!</v>
      </c>
      <c r="FJ25" t="e">
        <f>AND(#REF!,"AAAAADm+/6U=")</f>
        <v>#REF!</v>
      </c>
      <c r="FK25" t="e">
        <f>AND(#REF!,"AAAAADm+/6Y=")</f>
        <v>#REF!</v>
      </c>
      <c r="FL25" t="e">
        <f>AND(#REF!,"AAAAADm+/6c=")</f>
        <v>#REF!</v>
      </c>
      <c r="FM25" t="e">
        <f>AND(#REF!,"AAAAADm+/6g=")</f>
        <v>#REF!</v>
      </c>
      <c r="FN25" t="e">
        <f>AND(#REF!,"AAAAADm+/6k=")</f>
        <v>#REF!</v>
      </c>
      <c r="FO25" t="e">
        <f>AND(#REF!,"AAAAADm+/6o=")</f>
        <v>#REF!</v>
      </c>
      <c r="FP25" t="e">
        <f>IF(#REF!,"AAAAADm+/6s=",0)</f>
        <v>#REF!</v>
      </c>
      <c r="FQ25" t="e">
        <f>AND(#REF!,"AAAAADm+/6w=")</f>
        <v>#REF!</v>
      </c>
      <c r="FR25" t="e">
        <f>AND(#REF!,"AAAAADm+/60=")</f>
        <v>#REF!</v>
      </c>
      <c r="FS25" t="e">
        <f>AND(#REF!,"AAAAADm+/64=")</f>
        <v>#REF!</v>
      </c>
      <c r="FT25" t="e">
        <f>AND(#REF!,"AAAAADm+/68=")</f>
        <v>#REF!</v>
      </c>
      <c r="FU25" t="e">
        <f>AND(#REF!,"AAAAADm+/7A=")</f>
        <v>#REF!</v>
      </c>
      <c r="FV25" t="e">
        <f>AND(#REF!,"AAAAADm+/7E=")</f>
        <v>#REF!</v>
      </c>
      <c r="FW25" t="e">
        <f>AND(#REF!,"AAAAADm+/7I=")</f>
        <v>#REF!</v>
      </c>
      <c r="FX25" t="e">
        <f>AND(#REF!,"AAAAADm+/7M=")</f>
        <v>#REF!</v>
      </c>
      <c r="FY25" t="e">
        <f>AND(#REF!,"AAAAADm+/7Q=")</f>
        <v>#REF!</v>
      </c>
      <c r="FZ25" t="e">
        <f>AND(#REF!,"AAAAADm+/7U=")</f>
        <v>#REF!</v>
      </c>
      <c r="GA25" t="e">
        <f>IF(#REF!,"AAAAADm+/7Y=",0)</f>
        <v>#REF!</v>
      </c>
      <c r="GB25" t="e">
        <f>AND(#REF!,"AAAAADm+/7c=")</f>
        <v>#REF!</v>
      </c>
      <c r="GC25" t="e">
        <f>AND(#REF!,"AAAAADm+/7g=")</f>
        <v>#REF!</v>
      </c>
      <c r="GD25" t="e">
        <f>AND(#REF!,"AAAAADm+/7k=")</f>
        <v>#REF!</v>
      </c>
      <c r="GE25" t="e">
        <f>AND(#REF!,"AAAAADm+/7o=")</f>
        <v>#REF!</v>
      </c>
      <c r="GF25" t="e">
        <f>AND(#REF!,"AAAAADm+/7s=")</f>
        <v>#REF!</v>
      </c>
      <c r="GG25" t="e">
        <f>AND(#REF!,"AAAAADm+/7w=")</f>
        <v>#REF!</v>
      </c>
      <c r="GH25" t="e">
        <f>AND(#REF!,"AAAAADm+/70=")</f>
        <v>#REF!</v>
      </c>
      <c r="GI25" t="e">
        <f>AND(#REF!,"AAAAADm+/74=")</f>
        <v>#REF!</v>
      </c>
      <c r="GJ25" t="e">
        <f>AND(#REF!,"AAAAADm+/78=")</f>
        <v>#REF!</v>
      </c>
      <c r="GK25" t="e">
        <f>AND(#REF!,"AAAAADm+/8A=")</f>
        <v>#REF!</v>
      </c>
      <c r="GL25" t="e">
        <f>IF(#REF!,"AAAAADm+/8E=",0)</f>
        <v>#REF!</v>
      </c>
      <c r="GM25" t="e">
        <f>AND(#REF!,"AAAAADm+/8I=")</f>
        <v>#REF!</v>
      </c>
      <c r="GN25" t="e">
        <f>AND(#REF!,"AAAAADm+/8M=")</f>
        <v>#REF!</v>
      </c>
      <c r="GO25" t="e">
        <f>AND(#REF!,"AAAAADm+/8Q=")</f>
        <v>#REF!</v>
      </c>
      <c r="GP25" t="e">
        <f>AND(#REF!,"AAAAADm+/8U=")</f>
        <v>#REF!</v>
      </c>
      <c r="GQ25" t="e">
        <f>AND(#REF!,"AAAAADm+/8Y=")</f>
        <v>#REF!</v>
      </c>
      <c r="GR25" t="e">
        <f>AND(#REF!,"AAAAADm+/8c=")</f>
        <v>#REF!</v>
      </c>
      <c r="GS25" t="e">
        <f>AND(#REF!,"AAAAADm+/8g=")</f>
        <v>#REF!</v>
      </c>
      <c r="GT25" t="e">
        <f>AND(#REF!,"AAAAADm+/8k=")</f>
        <v>#REF!</v>
      </c>
      <c r="GU25" t="e">
        <f>AND(#REF!,"AAAAADm+/8o=")</f>
        <v>#REF!</v>
      </c>
      <c r="GV25" t="e">
        <f>AND(#REF!,"AAAAADm+/8s=")</f>
        <v>#REF!</v>
      </c>
      <c r="GW25" t="e">
        <f>IF(#REF!,"AAAAADm+/8w=",0)</f>
        <v>#REF!</v>
      </c>
      <c r="GX25" t="e">
        <f>AND(#REF!,"AAAAADm+/80=")</f>
        <v>#REF!</v>
      </c>
      <c r="GY25" t="e">
        <f>AND(#REF!,"AAAAADm+/84=")</f>
        <v>#REF!</v>
      </c>
      <c r="GZ25" t="e">
        <f>AND(#REF!,"AAAAADm+/88=")</f>
        <v>#REF!</v>
      </c>
      <c r="HA25" t="e">
        <f>AND(#REF!,"AAAAADm+/9A=")</f>
        <v>#REF!</v>
      </c>
      <c r="HB25" t="e">
        <f>AND(#REF!,"AAAAADm+/9E=")</f>
        <v>#REF!</v>
      </c>
      <c r="HC25" t="e">
        <f>AND(#REF!,"AAAAADm+/9I=")</f>
        <v>#REF!</v>
      </c>
      <c r="HD25" t="e">
        <f>AND(#REF!,"AAAAADm+/9M=")</f>
        <v>#REF!</v>
      </c>
      <c r="HE25" t="e">
        <f>AND(#REF!,"AAAAADm+/9Q=")</f>
        <v>#REF!</v>
      </c>
      <c r="HF25" t="e">
        <f>AND(#REF!,"AAAAADm+/9U=")</f>
        <v>#REF!</v>
      </c>
      <c r="HG25" t="e">
        <f>AND(#REF!,"AAAAADm+/9Y=")</f>
        <v>#REF!</v>
      </c>
      <c r="HH25" t="e">
        <f>IF(#REF!,"AAAAADm+/9c=",0)</f>
        <v>#REF!</v>
      </c>
      <c r="HI25" t="e">
        <f>AND(#REF!,"AAAAADm+/9g=")</f>
        <v>#REF!</v>
      </c>
      <c r="HJ25" t="e">
        <f>AND(#REF!,"AAAAADm+/9k=")</f>
        <v>#REF!</v>
      </c>
      <c r="HK25" t="e">
        <f>AND(#REF!,"AAAAADm+/9o=")</f>
        <v>#REF!</v>
      </c>
      <c r="HL25" t="e">
        <f>AND(#REF!,"AAAAADm+/9s=")</f>
        <v>#REF!</v>
      </c>
      <c r="HM25" t="e">
        <f>AND(#REF!,"AAAAADm+/9w=")</f>
        <v>#REF!</v>
      </c>
      <c r="HN25" t="e">
        <f>AND(#REF!,"AAAAADm+/90=")</f>
        <v>#REF!</v>
      </c>
      <c r="HO25" t="e">
        <f>AND(#REF!,"AAAAADm+/94=")</f>
        <v>#REF!</v>
      </c>
      <c r="HP25" t="e">
        <f>AND(#REF!,"AAAAADm+/98=")</f>
        <v>#REF!</v>
      </c>
      <c r="HQ25" t="e">
        <f>AND(#REF!,"AAAAADm+/+A=")</f>
        <v>#REF!</v>
      </c>
      <c r="HR25" t="e">
        <f>AND(#REF!,"AAAAADm+/+E=")</f>
        <v>#REF!</v>
      </c>
      <c r="HS25" t="e">
        <f>IF(#REF!,"AAAAADm+/+I=",0)</f>
        <v>#REF!</v>
      </c>
      <c r="HT25" t="e">
        <f>AND(#REF!,"AAAAADm+/+M=")</f>
        <v>#REF!</v>
      </c>
      <c r="HU25" t="e">
        <f>AND(#REF!,"AAAAADm+/+Q=")</f>
        <v>#REF!</v>
      </c>
      <c r="HV25" t="e">
        <f>AND(#REF!,"AAAAADm+/+U=")</f>
        <v>#REF!</v>
      </c>
      <c r="HW25" t="e">
        <f>AND(#REF!,"AAAAADm+/+Y=")</f>
        <v>#REF!</v>
      </c>
      <c r="HX25" t="e">
        <f>AND(#REF!,"AAAAADm+/+c=")</f>
        <v>#REF!</v>
      </c>
      <c r="HY25" t="e">
        <f>AND(#REF!,"AAAAADm+/+g=")</f>
        <v>#REF!</v>
      </c>
      <c r="HZ25" t="e">
        <f>AND(#REF!,"AAAAADm+/+k=")</f>
        <v>#REF!</v>
      </c>
      <c r="IA25" t="e">
        <f>AND(#REF!,"AAAAADm+/+o=")</f>
        <v>#REF!</v>
      </c>
      <c r="IB25" t="e">
        <f>AND(#REF!,"AAAAADm+/+s=")</f>
        <v>#REF!</v>
      </c>
      <c r="IC25" t="e">
        <f>AND(#REF!,"AAAAADm+/+w=")</f>
        <v>#REF!</v>
      </c>
      <c r="ID25" t="e">
        <f>IF(#REF!,"AAAAADm+/+0=",0)</f>
        <v>#REF!</v>
      </c>
      <c r="IE25" t="e">
        <f>AND(#REF!,"AAAAADm+/+4=")</f>
        <v>#REF!</v>
      </c>
      <c r="IF25" t="e">
        <f>AND(#REF!,"AAAAADm+/+8=")</f>
        <v>#REF!</v>
      </c>
      <c r="IG25" t="e">
        <f>AND(#REF!,"AAAAADm+//A=")</f>
        <v>#REF!</v>
      </c>
      <c r="IH25" t="e">
        <f>AND(#REF!,"AAAAADm+//E=")</f>
        <v>#REF!</v>
      </c>
      <c r="II25" t="e">
        <f>AND(#REF!,"AAAAADm+//I=")</f>
        <v>#REF!</v>
      </c>
      <c r="IJ25" t="e">
        <f>AND(#REF!,"AAAAADm+//M=")</f>
        <v>#REF!</v>
      </c>
      <c r="IK25" t="e">
        <f>AND(#REF!,"AAAAADm+//Q=")</f>
        <v>#REF!</v>
      </c>
      <c r="IL25" t="e">
        <f>AND(#REF!,"AAAAADm+//U=")</f>
        <v>#REF!</v>
      </c>
      <c r="IM25" t="e">
        <f>AND(#REF!,"AAAAADm+//Y=")</f>
        <v>#REF!</v>
      </c>
      <c r="IN25" t="e">
        <f>AND(#REF!,"AAAAADm+//c=")</f>
        <v>#REF!</v>
      </c>
      <c r="IO25" t="e">
        <f>IF(#REF!,"AAAAADm+//g=",0)</f>
        <v>#REF!</v>
      </c>
      <c r="IP25" t="e">
        <f>AND(#REF!,"AAAAADm+//k=")</f>
        <v>#REF!</v>
      </c>
      <c r="IQ25" t="e">
        <f>AND(#REF!,"AAAAADm+//o=")</f>
        <v>#REF!</v>
      </c>
      <c r="IR25" t="e">
        <f>AND(#REF!,"AAAAADm+//s=")</f>
        <v>#REF!</v>
      </c>
      <c r="IS25" t="e">
        <f>AND(#REF!,"AAAAADm+//w=")</f>
        <v>#REF!</v>
      </c>
      <c r="IT25" t="e">
        <f>AND(#REF!,"AAAAADm+//0=")</f>
        <v>#REF!</v>
      </c>
      <c r="IU25" t="e">
        <f>AND(#REF!,"AAAAADm+//4=")</f>
        <v>#REF!</v>
      </c>
      <c r="IV25" t="e">
        <f>AND(#REF!,"AAAAADm+//8=")</f>
        <v>#REF!</v>
      </c>
    </row>
    <row r="26" spans="1:256" ht="12.75">
      <c r="A26" t="e">
        <f>AND(#REF!,"AAAAAGv07wA=")</f>
        <v>#REF!</v>
      </c>
      <c r="B26" t="e">
        <f>AND(#REF!,"AAAAAGv07wE=")</f>
        <v>#REF!</v>
      </c>
      <c r="C26" t="e">
        <f>AND(#REF!,"AAAAAGv07wI=")</f>
        <v>#REF!</v>
      </c>
      <c r="D26" t="e">
        <f>IF(#REF!,"AAAAAGv07wM=",0)</f>
        <v>#REF!</v>
      </c>
      <c r="E26" t="e">
        <f>AND(#REF!,"AAAAAGv07wQ=")</f>
        <v>#REF!</v>
      </c>
      <c r="F26" t="e">
        <f>AND(#REF!,"AAAAAGv07wU=")</f>
        <v>#REF!</v>
      </c>
      <c r="G26" t="e">
        <f>AND(#REF!,"AAAAAGv07wY=")</f>
        <v>#REF!</v>
      </c>
      <c r="H26" t="e">
        <f>AND(#REF!,"AAAAAGv07wc=")</f>
        <v>#REF!</v>
      </c>
      <c r="I26" t="e">
        <f>AND(#REF!,"AAAAAGv07wg=")</f>
        <v>#REF!</v>
      </c>
      <c r="J26" t="e">
        <f>AND(#REF!,"AAAAAGv07wk=")</f>
        <v>#REF!</v>
      </c>
      <c r="K26" t="e">
        <f>AND(#REF!,"AAAAAGv07wo=")</f>
        <v>#REF!</v>
      </c>
      <c r="L26" t="e">
        <f>AND(#REF!,"AAAAAGv07ws=")</f>
        <v>#REF!</v>
      </c>
      <c r="M26" t="e">
        <f>AND(#REF!,"AAAAAGv07ww=")</f>
        <v>#REF!</v>
      </c>
      <c r="N26" t="e">
        <f>AND(#REF!,"AAAAAGv07w0=")</f>
        <v>#REF!</v>
      </c>
      <c r="O26" t="e">
        <f>IF(#REF!,"AAAAAGv07w4=",0)</f>
        <v>#REF!</v>
      </c>
      <c r="P26" t="e">
        <f>AND(#REF!,"AAAAAGv07w8=")</f>
        <v>#REF!</v>
      </c>
      <c r="Q26" t="e">
        <f>AND(#REF!,"AAAAAGv07xA=")</f>
        <v>#REF!</v>
      </c>
      <c r="R26" t="e">
        <f>AND(#REF!,"AAAAAGv07xE=")</f>
        <v>#REF!</v>
      </c>
      <c r="S26" t="e">
        <f>AND(#REF!,"AAAAAGv07xI=")</f>
        <v>#REF!</v>
      </c>
      <c r="T26" t="e">
        <f>AND(#REF!,"AAAAAGv07xM=")</f>
        <v>#REF!</v>
      </c>
      <c r="U26" t="e">
        <f>AND(#REF!,"AAAAAGv07xQ=")</f>
        <v>#REF!</v>
      </c>
      <c r="V26" t="e">
        <f>AND(#REF!,"AAAAAGv07xU=")</f>
        <v>#REF!</v>
      </c>
      <c r="W26" t="e">
        <f>AND(#REF!,"AAAAAGv07xY=")</f>
        <v>#REF!</v>
      </c>
      <c r="X26" t="e">
        <f>AND(#REF!,"AAAAAGv07xc=")</f>
        <v>#REF!</v>
      </c>
      <c r="Y26" t="e">
        <f>AND(#REF!,"AAAAAGv07xg=")</f>
        <v>#REF!</v>
      </c>
      <c r="Z26" t="e">
        <f>IF(#REF!,"AAAAAGv07xk=",0)</f>
        <v>#REF!</v>
      </c>
      <c r="AA26" t="e">
        <f>AND(#REF!,"AAAAAGv07xo=")</f>
        <v>#REF!</v>
      </c>
      <c r="AB26" t="e">
        <f>AND(#REF!,"AAAAAGv07xs=")</f>
        <v>#REF!</v>
      </c>
      <c r="AC26" t="e">
        <f>AND(#REF!,"AAAAAGv07xw=")</f>
        <v>#REF!</v>
      </c>
      <c r="AD26" t="e">
        <f>AND(#REF!,"AAAAAGv07x0=")</f>
        <v>#REF!</v>
      </c>
      <c r="AE26" t="e">
        <f>AND(#REF!,"AAAAAGv07x4=")</f>
        <v>#REF!</v>
      </c>
      <c r="AF26" t="e">
        <f>AND(#REF!,"AAAAAGv07x8=")</f>
        <v>#REF!</v>
      </c>
      <c r="AG26" t="e">
        <f>AND(#REF!,"AAAAAGv07yA=")</f>
        <v>#REF!</v>
      </c>
      <c r="AH26" t="e">
        <f>AND(#REF!,"AAAAAGv07yE=")</f>
        <v>#REF!</v>
      </c>
      <c r="AI26" t="e">
        <f>AND(#REF!,"AAAAAGv07yI=")</f>
        <v>#REF!</v>
      </c>
      <c r="AJ26" t="e">
        <f>AND(#REF!,"AAAAAGv07yM=")</f>
        <v>#REF!</v>
      </c>
      <c r="AK26" t="e">
        <f>IF(#REF!,"AAAAAGv07yQ=",0)</f>
        <v>#REF!</v>
      </c>
      <c r="AL26" t="e">
        <f>AND(#REF!,"AAAAAGv07yU=")</f>
        <v>#REF!</v>
      </c>
      <c r="AM26" t="e">
        <f>AND(#REF!,"AAAAAGv07yY=")</f>
        <v>#REF!</v>
      </c>
      <c r="AN26" t="e">
        <f>AND(#REF!,"AAAAAGv07yc=")</f>
        <v>#REF!</v>
      </c>
      <c r="AO26" t="e">
        <f>AND(#REF!,"AAAAAGv07yg=")</f>
        <v>#REF!</v>
      </c>
      <c r="AP26" t="e">
        <f>AND(#REF!,"AAAAAGv07yk=")</f>
        <v>#REF!</v>
      </c>
      <c r="AQ26" t="e">
        <f>AND(#REF!,"AAAAAGv07yo=")</f>
        <v>#REF!</v>
      </c>
      <c r="AR26" t="e">
        <f>AND(#REF!,"AAAAAGv07ys=")</f>
        <v>#REF!</v>
      </c>
      <c r="AS26" t="e">
        <f>AND(#REF!,"AAAAAGv07yw=")</f>
        <v>#REF!</v>
      </c>
      <c r="AT26" t="e">
        <f>AND(#REF!,"AAAAAGv07y0=")</f>
        <v>#REF!</v>
      </c>
      <c r="AU26" t="e">
        <f>AND(#REF!,"AAAAAGv07y4=")</f>
        <v>#REF!</v>
      </c>
      <c r="AV26" t="e">
        <f>IF(#REF!,"AAAAAGv07y8=",0)</f>
        <v>#REF!</v>
      </c>
      <c r="AW26" t="e">
        <f>AND(#REF!,"AAAAAGv07zA=")</f>
        <v>#REF!</v>
      </c>
      <c r="AX26" t="e">
        <f>AND(#REF!,"AAAAAGv07zE=")</f>
        <v>#REF!</v>
      </c>
      <c r="AY26" t="e">
        <f>AND(#REF!,"AAAAAGv07zI=")</f>
        <v>#REF!</v>
      </c>
      <c r="AZ26" t="e">
        <f>AND(#REF!,"AAAAAGv07zM=")</f>
        <v>#REF!</v>
      </c>
      <c r="BA26" t="e">
        <f>AND(#REF!,"AAAAAGv07zQ=")</f>
        <v>#REF!</v>
      </c>
      <c r="BB26" t="e">
        <f>AND(#REF!,"AAAAAGv07zU=")</f>
        <v>#REF!</v>
      </c>
      <c r="BC26" t="e">
        <f>AND(#REF!,"AAAAAGv07zY=")</f>
        <v>#REF!</v>
      </c>
      <c r="BD26" t="e">
        <f>AND(#REF!,"AAAAAGv07zc=")</f>
        <v>#REF!</v>
      </c>
      <c r="BE26" t="e">
        <f>AND(#REF!,"AAAAAGv07zg=")</f>
        <v>#REF!</v>
      </c>
      <c r="BF26" t="e">
        <f>AND(#REF!,"AAAAAGv07zk=")</f>
        <v>#REF!</v>
      </c>
      <c r="BG26" t="e">
        <f>IF(#REF!,"AAAAAGv07zo=",0)</f>
        <v>#REF!</v>
      </c>
      <c r="BH26" t="e">
        <f>AND(#REF!,"AAAAAGv07zs=")</f>
        <v>#REF!</v>
      </c>
      <c r="BI26" t="e">
        <f>AND(#REF!,"AAAAAGv07zw=")</f>
        <v>#REF!</v>
      </c>
      <c r="BJ26" t="e">
        <f>AND(#REF!,"AAAAAGv07z0=")</f>
        <v>#REF!</v>
      </c>
      <c r="BK26" t="e">
        <f>AND(#REF!,"AAAAAGv07z4=")</f>
        <v>#REF!</v>
      </c>
      <c r="BL26" t="e">
        <f>AND(#REF!,"AAAAAGv07z8=")</f>
        <v>#REF!</v>
      </c>
      <c r="BM26" t="e">
        <f>AND(#REF!,"AAAAAGv070A=")</f>
        <v>#REF!</v>
      </c>
      <c r="BN26" t="e">
        <f>AND(#REF!,"AAAAAGv070E=")</f>
        <v>#REF!</v>
      </c>
      <c r="BO26" t="e">
        <f>AND(#REF!,"AAAAAGv070I=")</f>
        <v>#REF!</v>
      </c>
      <c r="BP26" t="e">
        <f>AND(#REF!,"AAAAAGv070M=")</f>
        <v>#REF!</v>
      </c>
      <c r="BQ26" t="e">
        <f>AND(#REF!,"AAAAAGv070Q=")</f>
        <v>#REF!</v>
      </c>
      <c r="BR26" t="e">
        <f>IF(#REF!,"AAAAAGv070U=",0)</f>
        <v>#REF!</v>
      </c>
      <c r="BS26" t="e">
        <f>AND(#REF!,"AAAAAGv070Y=")</f>
        <v>#REF!</v>
      </c>
      <c r="BT26" t="e">
        <f>AND(#REF!,"AAAAAGv070c=")</f>
        <v>#REF!</v>
      </c>
      <c r="BU26" t="e">
        <f>AND(#REF!,"AAAAAGv070g=")</f>
        <v>#REF!</v>
      </c>
      <c r="BV26" t="e">
        <f>AND(#REF!,"AAAAAGv070k=")</f>
        <v>#REF!</v>
      </c>
      <c r="BW26" t="e">
        <f>AND(#REF!,"AAAAAGv070o=")</f>
        <v>#REF!</v>
      </c>
      <c r="BX26" t="e">
        <f>AND(#REF!,"AAAAAGv070s=")</f>
        <v>#REF!</v>
      </c>
      <c r="BY26" t="e">
        <f>AND(#REF!,"AAAAAGv070w=")</f>
        <v>#REF!</v>
      </c>
      <c r="BZ26" t="e">
        <f>AND(#REF!,"AAAAAGv0700=")</f>
        <v>#REF!</v>
      </c>
      <c r="CA26" t="e">
        <f>AND(#REF!,"AAAAAGv0704=")</f>
        <v>#REF!</v>
      </c>
      <c r="CB26" t="e">
        <f>AND(#REF!,"AAAAAGv0708=")</f>
        <v>#REF!</v>
      </c>
      <c r="CC26" t="e">
        <f>IF(#REF!,"AAAAAGv071A=",0)</f>
        <v>#REF!</v>
      </c>
      <c r="CD26" t="e">
        <f>AND(#REF!,"AAAAAGv071E=")</f>
        <v>#REF!</v>
      </c>
      <c r="CE26" t="e">
        <f>AND(#REF!,"AAAAAGv071I=")</f>
        <v>#REF!</v>
      </c>
      <c r="CF26" t="e">
        <f>AND(#REF!,"AAAAAGv071M=")</f>
        <v>#REF!</v>
      </c>
      <c r="CG26" t="e">
        <f>AND(#REF!,"AAAAAGv071Q=")</f>
        <v>#REF!</v>
      </c>
      <c r="CH26" t="e">
        <f>AND(#REF!,"AAAAAGv071U=")</f>
        <v>#REF!</v>
      </c>
      <c r="CI26" t="e">
        <f>AND(#REF!,"AAAAAGv071Y=")</f>
        <v>#REF!</v>
      </c>
      <c r="CJ26" t="e">
        <f>AND(#REF!,"AAAAAGv071c=")</f>
        <v>#REF!</v>
      </c>
      <c r="CK26" t="e">
        <f>AND(#REF!,"AAAAAGv071g=")</f>
        <v>#REF!</v>
      </c>
      <c r="CL26" t="e">
        <f>AND(#REF!,"AAAAAGv071k=")</f>
        <v>#REF!</v>
      </c>
      <c r="CM26" t="e">
        <f>AND(#REF!,"AAAAAGv071o=")</f>
        <v>#REF!</v>
      </c>
      <c r="CN26" t="e">
        <f>IF(#REF!,"AAAAAGv071s=",0)</f>
        <v>#REF!</v>
      </c>
      <c r="CO26" t="e">
        <f>AND(#REF!,"AAAAAGv071w=")</f>
        <v>#REF!</v>
      </c>
      <c r="CP26" t="e">
        <f>AND(#REF!,"AAAAAGv0710=")</f>
        <v>#REF!</v>
      </c>
      <c r="CQ26" t="e">
        <f>AND(#REF!,"AAAAAGv0714=")</f>
        <v>#REF!</v>
      </c>
      <c r="CR26" t="e">
        <f>AND(#REF!,"AAAAAGv0718=")</f>
        <v>#REF!</v>
      </c>
      <c r="CS26" t="e">
        <f>AND(#REF!,"AAAAAGv072A=")</f>
        <v>#REF!</v>
      </c>
      <c r="CT26" t="e">
        <f>AND(#REF!,"AAAAAGv072E=")</f>
        <v>#REF!</v>
      </c>
      <c r="CU26" t="e">
        <f>AND(#REF!,"AAAAAGv072I=")</f>
        <v>#REF!</v>
      </c>
      <c r="CV26" t="e">
        <f>AND(#REF!,"AAAAAGv072M=")</f>
        <v>#REF!</v>
      </c>
      <c r="CW26" t="e">
        <f>AND(#REF!,"AAAAAGv072Q=")</f>
        <v>#REF!</v>
      </c>
      <c r="CX26" t="e">
        <f>AND(#REF!,"AAAAAGv072U=")</f>
        <v>#REF!</v>
      </c>
      <c r="CY26" t="e">
        <f>IF(#REF!,"AAAAAGv072Y=",0)</f>
        <v>#REF!</v>
      </c>
      <c r="CZ26" t="e">
        <f>AND(#REF!,"AAAAAGv072c=")</f>
        <v>#REF!</v>
      </c>
      <c r="DA26" t="e">
        <f>AND(#REF!,"AAAAAGv072g=")</f>
        <v>#REF!</v>
      </c>
      <c r="DB26" t="e">
        <f>AND(#REF!,"AAAAAGv072k=")</f>
        <v>#REF!</v>
      </c>
      <c r="DC26" t="e">
        <f>AND(#REF!,"AAAAAGv072o=")</f>
        <v>#REF!</v>
      </c>
      <c r="DD26" t="e">
        <f>AND(#REF!,"AAAAAGv072s=")</f>
        <v>#REF!</v>
      </c>
      <c r="DE26" t="e">
        <f>AND(#REF!,"AAAAAGv072w=")</f>
        <v>#REF!</v>
      </c>
      <c r="DF26" t="e">
        <f>AND(#REF!,"AAAAAGv0720=")</f>
        <v>#REF!</v>
      </c>
      <c r="DG26" t="e">
        <f>AND(#REF!,"AAAAAGv0724=")</f>
        <v>#REF!</v>
      </c>
      <c r="DH26" t="e">
        <f>AND(#REF!,"AAAAAGv0728=")</f>
        <v>#REF!</v>
      </c>
      <c r="DI26" t="e">
        <f>AND(#REF!,"AAAAAGv073A=")</f>
        <v>#REF!</v>
      </c>
      <c r="DJ26" t="e">
        <f>IF(#REF!,"AAAAAGv073E=",0)</f>
        <v>#REF!</v>
      </c>
      <c r="DK26" t="e">
        <f>AND(#REF!,"AAAAAGv073I=")</f>
        <v>#REF!</v>
      </c>
      <c r="DL26" t="e">
        <f>AND(#REF!,"AAAAAGv073M=")</f>
        <v>#REF!</v>
      </c>
      <c r="DM26" t="e">
        <f>AND(#REF!,"AAAAAGv073Q=")</f>
        <v>#REF!</v>
      </c>
      <c r="DN26" t="e">
        <f>AND(#REF!,"AAAAAGv073U=")</f>
        <v>#REF!</v>
      </c>
      <c r="DO26" t="e">
        <f>AND(#REF!,"AAAAAGv073Y=")</f>
        <v>#REF!</v>
      </c>
      <c r="DP26" t="e">
        <f>AND(#REF!,"AAAAAGv073c=")</f>
        <v>#REF!</v>
      </c>
      <c r="DQ26" t="e">
        <f>AND(#REF!,"AAAAAGv073g=")</f>
        <v>#REF!</v>
      </c>
      <c r="DR26" t="e">
        <f>AND(#REF!,"AAAAAGv073k=")</f>
        <v>#REF!</v>
      </c>
      <c r="DS26" t="e">
        <f>AND(#REF!,"AAAAAGv073o=")</f>
        <v>#REF!</v>
      </c>
      <c r="DT26" t="e">
        <f>AND(#REF!,"AAAAAGv073s=")</f>
        <v>#REF!</v>
      </c>
      <c r="DU26" t="e">
        <f>IF(#REF!,"AAAAAGv073w=",0)</f>
        <v>#REF!</v>
      </c>
      <c r="DV26" t="e">
        <f>AND(#REF!,"AAAAAGv0730=")</f>
        <v>#REF!</v>
      </c>
      <c r="DW26" t="e">
        <f>AND(#REF!,"AAAAAGv0734=")</f>
        <v>#REF!</v>
      </c>
      <c r="DX26" t="e">
        <f>AND(#REF!,"AAAAAGv0738=")</f>
        <v>#REF!</v>
      </c>
      <c r="DY26" t="e">
        <f>AND(#REF!,"AAAAAGv074A=")</f>
        <v>#REF!</v>
      </c>
      <c r="DZ26" t="e">
        <f>AND(#REF!,"AAAAAGv074E=")</f>
        <v>#REF!</v>
      </c>
      <c r="EA26" t="e">
        <f>AND(#REF!,"AAAAAGv074I=")</f>
        <v>#REF!</v>
      </c>
      <c r="EB26" t="e">
        <f>AND(#REF!,"AAAAAGv074M=")</f>
        <v>#REF!</v>
      </c>
      <c r="EC26" t="e">
        <f>AND(#REF!,"AAAAAGv074Q=")</f>
        <v>#REF!</v>
      </c>
      <c r="ED26" t="e">
        <f>AND(#REF!,"AAAAAGv074U=")</f>
        <v>#REF!</v>
      </c>
      <c r="EE26" t="e">
        <f>AND(#REF!,"AAAAAGv074Y=")</f>
        <v>#REF!</v>
      </c>
      <c r="EF26" t="e">
        <f>IF(#REF!,"AAAAAGv074c=",0)</f>
        <v>#REF!</v>
      </c>
      <c r="EG26" t="e">
        <f>AND(#REF!,"AAAAAGv074g=")</f>
        <v>#REF!</v>
      </c>
      <c r="EH26" t="e">
        <f>AND(#REF!,"AAAAAGv074k=")</f>
        <v>#REF!</v>
      </c>
      <c r="EI26" t="e">
        <f>AND(#REF!,"AAAAAGv074o=")</f>
        <v>#REF!</v>
      </c>
      <c r="EJ26" t="e">
        <f>AND(#REF!,"AAAAAGv074s=")</f>
        <v>#REF!</v>
      </c>
      <c r="EK26" t="e">
        <f>AND(#REF!,"AAAAAGv074w=")</f>
        <v>#REF!</v>
      </c>
      <c r="EL26" t="e">
        <f>AND(#REF!,"AAAAAGv0740=")</f>
        <v>#REF!</v>
      </c>
      <c r="EM26" t="e">
        <f>AND(#REF!,"AAAAAGv0744=")</f>
        <v>#REF!</v>
      </c>
      <c r="EN26" t="e">
        <f>AND(#REF!,"AAAAAGv0748=")</f>
        <v>#REF!</v>
      </c>
      <c r="EO26" t="e">
        <f>AND(#REF!,"AAAAAGv075A=")</f>
        <v>#REF!</v>
      </c>
      <c r="EP26" t="e">
        <f>AND(#REF!,"AAAAAGv075E=")</f>
        <v>#REF!</v>
      </c>
      <c r="EQ26" t="e">
        <f>IF(#REF!,"AAAAAGv075I=",0)</f>
        <v>#REF!</v>
      </c>
      <c r="ER26" t="e">
        <f>IF(#REF!,"AAAAAGv075M=",0)</f>
        <v>#REF!</v>
      </c>
      <c r="ES26" t="e">
        <f>IF(#REF!,"AAAAAGv075Q=",0)</f>
        <v>#REF!</v>
      </c>
      <c r="ET26" t="e">
        <f>IF(#REF!,"AAAAAGv075U=",0)</f>
        <v>#REF!</v>
      </c>
      <c r="EU26" t="e">
        <f>IF(#REF!,"AAAAAGv075Y=",0)</f>
        <v>#REF!</v>
      </c>
      <c r="EV26" t="e">
        <f>IF(#REF!,"AAAAAGv075c=",0)</f>
        <v>#REF!</v>
      </c>
      <c r="EW26" t="e">
        <f>IF(#REF!,"AAAAAGv075g=",0)</f>
        <v>#REF!</v>
      </c>
      <c r="EX26" t="e">
        <f>IF(#REF!,"AAAAAGv075k=",0)</f>
        <v>#REF!</v>
      </c>
      <c r="EY26" t="e">
        <f>IF(#REF!,"AAAAAGv075o=",0)</f>
        <v>#REF!</v>
      </c>
      <c r="EZ26" t="e">
        <f>IF(#REF!,"AAAAAGv075s=",0)</f>
        <v>#REF!</v>
      </c>
      <c r="FA26" t="e">
        <f>IF(#REF!,"AAAAAGv075w=",0)</f>
        <v>#REF!</v>
      </c>
      <c r="FB26" t="e">
        <f>IF(#REF!,"AAAAAGv0750=",0)</f>
        <v>#REF!</v>
      </c>
      <c r="FC26" t="e">
        <f>IF(#REF!,"AAAAAGv0754=",0)</f>
        <v>#REF!</v>
      </c>
      <c r="FD26" t="e">
        <f>IF(#REF!,"AAAAAGv0758=",0)</f>
        <v>#REF!</v>
      </c>
      <c r="FE26" t="e">
        <f>IF(#REF!,"AAAAAGv076A=",0)</f>
        <v>#REF!</v>
      </c>
      <c r="FF26" t="e">
        <f>AND(#REF!,"AAAAAGv076E=")</f>
        <v>#REF!</v>
      </c>
      <c r="FG26" t="e">
        <f>AND(#REF!,"AAAAAGv076I=")</f>
        <v>#REF!</v>
      </c>
      <c r="FH26" t="e">
        <f>AND(#REF!,"AAAAAGv076M=")</f>
        <v>#REF!</v>
      </c>
      <c r="FI26" t="e">
        <f>AND(#REF!,"AAAAAGv076Q=")</f>
        <v>#REF!</v>
      </c>
      <c r="FJ26" t="e">
        <f>AND(#REF!,"AAAAAGv076U=")</f>
        <v>#REF!</v>
      </c>
      <c r="FK26" t="e">
        <f>AND(#REF!,"AAAAAGv076Y=")</f>
        <v>#REF!</v>
      </c>
      <c r="FL26" t="e">
        <f>AND(#REF!,"AAAAAGv076c=")</f>
        <v>#REF!</v>
      </c>
      <c r="FM26" t="e">
        <f>AND(#REF!,"AAAAAGv076g=")</f>
        <v>#REF!</v>
      </c>
      <c r="FN26" t="e">
        <f>AND(#REF!,"AAAAAGv076k=")</f>
        <v>#REF!</v>
      </c>
      <c r="FO26" t="e">
        <f>AND(#REF!,"AAAAAGv076o=")</f>
        <v>#REF!</v>
      </c>
      <c r="FP26" t="e">
        <f>IF(#REF!,"AAAAAGv076s=",0)</f>
        <v>#REF!</v>
      </c>
      <c r="FQ26" t="e">
        <f>AND(#REF!,"AAAAAGv076w=")</f>
        <v>#REF!</v>
      </c>
      <c r="FR26" t="e">
        <f>AND(#REF!,"AAAAAGv0760=")</f>
        <v>#REF!</v>
      </c>
      <c r="FS26" t="e">
        <f>AND(#REF!,"AAAAAGv0764=")</f>
        <v>#REF!</v>
      </c>
      <c r="FT26" t="e">
        <f>AND(#REF!,"AAAAAGv0768=")</f>
        <v>#REF!</v>
      </c>
      <c r="FU26" t="e">
        <f>AND(#REF!,"AAAAAGv077A=")</f>
        <v>#REF!</v>
      </c>
      <c r="FV26" t="e">
        <f>AND(#REF!,"AAAAAGv077E=")</f>
        <v>#REF!</v>
      </c>
      <c r="FW26" t="e">
        <f>AND(#REF!,"AAAAAGv077I=")</f>
        <v>#REF!</v>
      </c>
      <c r="FX26" t="e">
        <f>AND(#REF!,"AAAAAGv077M=")</f>
        <v>#REF!</v>
      </c>
      <c r="FY26" t="e">
        <f>AND(#REF!,"AAAAAGv077Q=")</f>
        <v>#REF!</v>
      </c>
      <c r="FZ26" t="e">
        <f>AND(#REF!,"AAAAAGv077U=")</f>
        <v>#REF!</v>
      </c>
      <c r="GA26" t="e">
        <f>IF(#REF!,"AAAAAGv077Y=",0)</f>
        <v>#REF!</v>
      </c>
      <c r="GB26" t="e">
        <f>AND(#REF!,"AAAAAGv077c=")</f>
        <v>#REF!</v>
      </c>
      <c r="GC26" t="e">
        <f>AND(#REF!,"AAAAAGv077g=")</f>
        <v>#REF!</v>
      </c>
      <c r="GD26" t="e">
        <f>AND(#REF!,"AAAAAGv077k=")</f>
        <v>#REF!</v>
      </c>
      <c r="GE26" t="e">
        <f>AND(#REF!,"AAAAAGv077o=")</f>
        <v>#REF!</v>
      </c>
      <c r="GF26" t="e">
        <f>AND(#REF!,"AAAAAGv077s=")</f>
        <v>#REF!</v>
      </c>
      <c r="GG26" t="e">
        <f>AND(#REF!,"AAAAAGv077w=")</f>
        <v>#REF!</v>
      </c>
      <c r="GH26" t="e">
        <f>AND(#REF!,"AAAAAGv0770=")</f>
        <v>#REF!</v>
      </c>
      <c r="GI26" t="e">
        <f>AND(#REF!,"AAAAAGv0774=")</f>
        <v>#REF!</v>
      </c>
      <c r="GJ26" t="e">
        <f>AND(#REF!,"AAAAAGv0778=")</f>
        <v>#REF!</v>
      </c>
      <c r="GK26" t="e">
        <f>AND(#REF!,"AAAAAGv078A=")</f>
        <v>#REF!</v>
      </c>
      <c r="GL26" t="e">
        <f>IF(#REF!,"AAAAAGv078E=",0)</f>
        <v>#REF!</v>
      </c>
      <c r="GM26" t="e">
        <f>AND(#REF!,"AAAAAGv078I=")</f>
        <v>#REF!</v>
      </c>
      <c r="GN26" t="e">
        <f>AND(#REF!,"AAAAAGv078M=")</f>
        <v>#REF!</v>
      </c>
      <c r="GO26" t="e">
        <f>AND(#REF!,"AAAAAGv078Q=")</f>
        <v>#REF!</v>
      </c>
      <c r="GP26" t="e">
        <f>AND(#REF!,"AAAAAGv078U=")</f>
        <v>#REF!</v>
      </c>
      <c r="GQ26" t="e">
        <f>AND(#REF!,"AAAAAGv078Y=")</f>
        <v>#REF!</v>
      </c>
      <c r="GR26" t="e">
        <f>AND(#REF!,"AAAAAGv078c=")</f>
        <v>#REF!</v>
      </c>
      <c r="GS26" t="e">
        <f>AND(#REF!,"AAAAAGv078g=")</f>
        <v>#REF!</v>
      </c>
      <c r="GT26" t="e">
        <f>AND(#REF!,"AAAAAGv078k=")</f>
        <v>#REF!</v>
      </c>
      <c r="GU26" t="e">
        <f>AND(#REF!,"AAAAAGv078o=")</f>
        <v>#REF!</v>
      </c>
      <c r="GV26" t="e">
        <f>AND(#REF!,"AAAAAGv078s=")</f>
        <v>#REF!</v>
      </c>
      <c r="GW26" t="e">
        <f>IF(#REF!,"AAAAAGv078w=",0)</f>
        <v>#REF!</v>
      </c>
      <c r="GX26" t="e">
        <f>AND(#REF!,"AAAAAGv0780=")</f>
        <v>#REF!</v>
      </c>
      <c r="GY26" t="e">
        <f>AND(#REF!,"AAAAAGv0784=")</f>
        <v>#REF!</v>
      </c>
      <c r="GZ26" t="e">
        <f>AND(#REF!,"AAAAAGv0788=")</f>
        <v>#REF!</v>
      </c>
      <c r="HA26" t="e">
        <f>AND(#REF!,"AAAAAGv079A=")</f>
        <v>#REF!</v>
      </c>
      <c r="HB26" t="e">
        <f>AND(#REF!,"AAAAAGv079E=")</f>
        <v>#REF!</v>
      </c>
      <c r="HC26" t="e">
        <f>AND(#REF!,"AAAAAGv079I=")</f>
        <v>#REF!</v>
      </c>
      <c r="HD26" t="e">
        <f>AND(#REF!,"AAAAAGv079M=")</f>
        <v>#REF!</v>
      </c>
      <c r="HE26" t="e">
        <f>AND(#REF!,"AAAAAGv079Q=")</f>
        <v>#REF!</v>
      </c>
      <c r="HF26" t="e">
        <f>AND(#REF!,"AAAAAGv079U=")</f>
        <v>#REF!</v>
      </c>
      <c r="HG26" t="e">
        <f>AND(#REF!,"AAAAAGv079Y=")</f>
        <v>#REF!</v>
      </c>
      <c r="HH26" t="e">
        <f>IF(#REF!,"AAAAAGv079c=",0)</f>
        <v>#REF!</v>
      </c>
      <c r="HI26" t="e">
        <f>AND(#REF!,"AAAAAGv079g=")</f>
        <v>#REF!</v>
      </c>
      <c r="HJ26" t="e">
        <f>AND(#REF!,"AAAAAGv079k=")</f>
        <v>#REF!</v>
      </c>
      <c r="HK26" t="e">
        <f>AND(#REF!,"AAAAAGv079o=")</f>
        <v>#REF!</v>
      </c>
      <c r="HL26" t="e">
        <f>AND(#REF!,"AAAAAGv079s=")</f>
        <v>#REF!</v>
      </c>
      <c r="HM26" t="e">
        <f>AND(#REF!,"AAAAAGv079w=")</f>
        <v>#REF!</v>
      </c>
      <c r="HN26" t="e">
        <f>AND(#REF!,"AAAAAGv0790=")</f>
        <v>#REF!</v>
      </c>
      <c r="HO26" t="e">
        <f>AND(#REF!,"AAAAAGv0794=")</f>
        <v>#REF!</v>
      </c>
      <c r="HP26" t="e">
        <f>AND(#REF!,"AAAAAGv0798=")</f>
        <v>#REF!</v>
      </c>
      <c r="HQ26" t="e">
        <f>AND(#REF!,"AAAAAGv07+A=")</f>
        <v>#REF!</v>
      </c>
      <c r="HR26" t="e">
        <f>AND(#REF!,"AAAAAGv07+E=")</f>
        <v>#REF!</v>
      </c>
      <c r="HS26" t="e">
        <f>IF(#REF!,"AAAAAGv07+I=",0)</f>
        <v>#REF!</v>
      </c>
      <c r="HT26" t="e">
        <f>AND(#REF!,"AAAAAGv07+M=")</f>
        <v>#REF!</v>
      </c>
      <c r="HU26" t="e">
        <f>AND(#REF!,"AAAAAGv07+Q=")</f>
        <v>#REF!</v>
      </c>
      <c r="HV26" t="e">
        <f>AND(#REF!,"AAAAAGv07+U=")</f>
        <v>#REF!</v>
      </c>
      <c r="HW26" t="e">
        <f>AND(#REF!,"AAAAAGv07+Y=")</f>
        <v>#REF!</v>
      </c>
      <c r="HX26" t="e">
        <f>AND(#REF!,"AAAAAGv07+c=")</f>
        <v>#REF!</v>
      </c>
      <c r="HY26" t="e">
        <f>AND(#REF!,"AAAAAGv07+g=")</f>
        <v>#REF!</v>
      </c>
      <c r="HZ26" t="e">
        <f>AND(#REF!,"AAAAAGv07+k=")</f>
        <v>#REF!</v>
      </c>
      <c r="IA26" t="e">
        <f>AND(#REF!,"AAAAAGv07+o=")</f>
        <v>#REF!</v>
      </c>
      <c r="IB26" t="e">
        <f>AND(#REF!,"AAAAAGv07+s=")</f>
        <v>#REF!</v>
      </c>
      <c r="IC26" t="e">
        <f>AND(#REF!,"AAAAAGv07+w=")</f>
        <v>#REF!</v>
      </c>
      <c r="ID26" t="e">
        <f>IF(#REF!,"AAAAAGv07+0=",0)</f>
        <v>#REF!</v>
      </c>
      <c r="IE26" t="e">
        <f>AND(#REF!,"AAAAAGv07+4=")</f>
        <v>#REF!</v>
      </c>
      <c r="IF26" t="e">
        <f>AND(#REF!,"AAAAAGv07+8=")</f>
        <v>#REF!</v>
      </c>
      <c r="IG26" t="e">
        <f>AND(#REF!,"AAAAAGv07/A=")</f>
        <v>#REF!</v>
      </c>
      <c r="IH26" t="e">
        <f>AND(#REF!,"AAAAAGv07/E=")</f>
        <v>#REF!</v>
      </c>
      <c r="II26" t="e">
        <f>AND(#REF!,"AAAAAGv07/I=")</f>
        <v>#REF!</v>
      </c>
      <c r="IJ26" t="e">
        <f>AND(#REF!,"AAAAAGv07/M=")</f>
        <v>#REF!</v>
      </c>
      <c r="IK26" t="e">
        <f>AND(#REF!,"AAAAAGv07/Q=")</f>
        <v>#REF!</v>
      </c>
      <c r="IL26" t="e">
        <f>AND(#REF!,"AAAAAGv07/U=")</f>
        <v>#REF!</v>
      </c>
      <c r="IM26" t="e">
        <f>AND(#REF!,"AAAAAGv07/Y=")</f>
        <v>#REF!</v>
      </c>
      <c r="IN26" t="e">
        <f>AND(#REF!,"AAAAAGv07/c=")</f>
        <v>#REF!</v>
      </c>
      <c r="IO26" t="e">
        <f>IF(#REF!,"AAAAAGv07/g=",0)</f>
        <v>#REF!</v>
      </c>
      <c r="IP26" t="e">
        <f>AND(#REF!,"AAAAAGv07/k=")</f>
        <v>#REF!</v>
      </c>
      <c r="IQ26" t="e">
        <f>AND(#REF!,"AAAAAGv07/o=")</f>
        <v>#REF!</v>
      </c>
      <c r="IR26" t="e">
        <f>AND(#REF!,"AAAAAGv07/s=")</f>
        <v>#REF!</v>
      </c>
      <c r="IS26" t="e">
        <f>AND(#REF!,"AAAAAGv07/w=")</f>
        <v>#REF!</v>
      </c>
      <c r="IT26" t="e">
        <f>AND(#REF!,"AAAAAGv07/0=")</f>
        <v>#REF!</v>
      </c>
      <c r="IU26" t="e">
        <f>AND(#REF!,"AAAAAGv07/4=")</f>
        <v>#REF!</v>
      </c>
      <c r="IV26" t="e">
        <f>AND(#REF!,"AAAAAGv07/8=")</f>
        <v>#REF!</v>
      </c>
    </row>
    <row r="27" spans="1:256" ht="12.75">
      <c r="A27" t="e">
        <f>AND(#REF!,"AAAAAHJ+cwA=")</f>
        <v>#REF!</v>
      </c>
      <c r="B27" t="e">
        <f>AND(#REF!,"AAAAAHJ+cwE=")</f>
        <v>#REF!</v>
      </c>
      <c r="C27" t="e">
        <f>AND(#REF!,"AAAAAHJ+cwI=")</f>
        <v>#REF!</v>
      </c>
      <c r="D27" t="e">
        <f>IF(#REF!,"AAAAAHJ+cwM=",0)</f>
        <v>#REF!</v>
      </c>
      <c r="E27" t="e">
        <f>AND(#REF!,"AAAAAHJ+cwQ=")</f>
        <v>#REF!</v>
      </c>
      <c r="F27" t="e">
        <f>AND(#REF!,"AAAAAHJ+cwU=")</f>
        <v>#REF!</v>
      </c>
      <c r="G27" t="e">
        <f>AND(#REF!,"AAAAAHJ+cwY=")</f>
        <v>#REF!</v>
      </c>
      <c r="H27" t="e">
        <f>AND(#REF!,"AAAAAHJ+cwc=")</f>
        <v>#REF!</v>
      </c>
      <c r="I27" t="e">
        <f>AND(#REF!,"AAAAAHJ+cwg=")</f>
        <v>#REF!</v>
      </c>
      <c r="J27" t="e">
        <f>AND(#REF!,"AAAAAHJ+cwk=")</f>
        <v>#REF!</v>
      </c>
      <c r="K27" t="e">
        <f>AND(#REF!,"AAAAAHJ+cwo=")</f>
        <v>#REF!</v>
      </c>
      <c r="L27" t="e">
        <f>AND(#REF!,"AAAAAHJ+cws=")</f>
        <v>#REF!</v>
      </c>
      <c r="M27" t="e">
        <f>AND(#REF!,"AAAAAHJ+cww=")</f>
        <v>#REF!</v>
      </c>
      <c r="N27" t="e">
        <f>AND(#REF!,"AAAAAHJ+cw0=")</f>
        <v>#REF!</v>
      </c>
      <c r="O27" t="e">
        <f>IF(#REF!,"AAAAAHJ+cw4=",0)</f>
        <v>#REF!</v>
      </c>
      <c r="P27" t="e">
        <f>AND(#REF!,"AAAAAHJ+cw8=")</f>
        <v>#REF!</v>
      </c>
      <c r="Q27" t="e">
        <f>AND(#REF!,"AAAAAHJ+cxA=")</f>
        <v>#REF!</v>
      </c>
      <c r="R27" t="e">
        <f>AND(#REF!,"AAAAAHJ+cxE=")</f>
        <v>#REF!</v>
      </c>
      <c r="S27" t="e">
        <f>AND(#REF!,"AAAAAHJ+cxI=")</f>
        <v>#REF!</v>
      </c>
      <c r="T27" t="e">
        <f>AND(#REF!,"AAAAAHJ+cxM=")</f>
        <v>#REF!</v>
      </c>
      <c r="U27" t="e">
        <f>AND(#REF!,"AAAAAHJ+cxQ=")</f>
        <v>#REF!</v>
      </c>
      <c r="V27" t="e">
        <f>AND(#REF!,"AAAAAHJ+cxU=")</f>
        <v>#REF!</v>
      </c>
      <c r="W27" t="e">
        <f>AND(#REF!,"AAAAAHJ+cxY=")</f>
        <v>#REF!</v>
      </c>
      <c r="X27" t="e">
        <f>AND(#REF!,"AAAAAHJ+cxc=")</f>
        <v>#REF!</v>
      </c>
      <c r="Y27" t="e">
        <f>AND(#REF!,"AAAAAHJ+cxg=")</f>
        <v>#REF!</v>
      </c>
      <c r="Z27" t="e">
        <f>IF(#REF!,"AAAAAHJ+cxk=",0)</f>
        <v>#REF!</v>
      </c>
      <c r="AA27" t="e">
        <f>AND(#REF!,"AAAAAHJ+cxo=")</f>
        <v>#REF!</v>
      </c>
      <c r="AB27" t="e">
        <f>AND(#REF!,"AAAAAHJ+cxs=")</f>
        <v>#REF!</v>
      </c>
      <c r="AC27" t="e">
        <f>AND(#REF!,"AAAAAHJ+cxw=")</f>
        <v>#REF!</v>
      </c>
      <c r="AD27" t="e">
        <f>AND(#REF!,"AAAAAHJ+cx0=")</f>
        <v>#REF!</v>
      </c>
      <c r="AE27" t="e">
        <f>AND(#REF!,"AAAAAHJ+cx4=")</f>
        <v>#REF!</v>
      </c>
      <c r="AF27" t="e">
        <f>AND(#REF!,"AAAAAHJ+cx8=")</f>
        <v>#REF!</v>
      </c>
      <c r="AG27" t="e">
        <f>AND(#REF!,"AAAAAHJ+cyA=")</f>
        <v>#REF!</v>
      </c>
      <c r="AH27" t="e">
        <f>AND(#REF!,"AAAAAHJ+cyE=")</f>
        <v>#REF!</v>
      </c>
      <c r="AI27" t="e">
        <f>AND(#REF!,"AAAAAHJ+cyI=")</f>
        <v>#REF!</v>
      </c>
      <c r="AJ27" t="e">
        <f>AND(#REF!,"AAAAAHJ+cyM=")</f>
        <v>#REF!</v>
      </c>
      <c r="AK27" t="e">
        <f>IF(#REF!,"AAAAAHJ+cyQ=",0)</f>
        <v>#REF!</v>
      </c>
      <c r="AL27" t="e">
        <f>AND(#REF!,"AAAAAHJ+cyU=")</f>
        <v>#REF!</v>
      </c>
      <c r="AM27" t="e">
        <f>AND(#REF!,"AAAAAHJ+cyY=")</f>
        <v>#REF!</v>
      </c>
      <c r="AN27" t="e">
        <f>AND(#REF!,"AAAAAHJ+cyc=")</f>
        <v>#REF!</v>
      </c>
      <c r="AO27" t="e">
        <f>AND(#REF!,"AAAAAHJ+cyg=")</f>
        <v>#REF!</v>
      </c>
      <c r="AP27" t="e">
        <f>AND(#REF!,"AAAAAHJ+cyk=")</f>
        <v>#REF!</v>
      </c>
      <c r="AQ27" t="e">
        <f>AND(#REF!,"AAAAAHJ+cyo=")</f>
        <v>#REF!</v>
      </c>
      <c r="AR27" t="e">
        <f>AND(#REF!,"AAAAAHJ+cys=")</f>
        <v>#REF!</v>
      </c>
      <c r="AS27" t="e">
        <f>AND(#REF!,"AAAAAHJ+cyw=")</f>
        <v>#REF!</v>
      </c>
      <c r="AT27" t="e">
        <f>AND(#REF!,"AAAAAHJ+cy0=")</f>
        <v>#REF!</v>
      </c>
      <c r="AU27" t="e">
        <f>AND(#REF!,"AAAAAHJ+cy4=")</f>
        <v>#REF!</v>
      </c>
      <c r="AV27" t="e">
        <f>IF(#REF!,"AAAAAHJ+cy8=",0)</f>
        <v>#REF!</v>
      </c>
      <c r="AW27" t="e">
        <f>AND(#REF!,"AAAAAHJ+czA=")</f>
        <v>#REF!</v>
      </c>
      <c r="AX27" t="e">
        <f>AND(#REF!,"AAAAAHJ+czE=")</f>
        <v>#REF!</v>
      </c>
      <c r="AY27" t="e">
        <f>AND(#REF!,"AAAAAHJ+czI=")</f>
        <v>#REF!</v>
      </c>
      <c r="AZ27" t="e">
        <f>AND(#REF!,"AAAAAHJ+czM=")</f>
        <v>#REF!</v>
      </c>
      <c r="BA27" t="e">
        <f>AND(#REF!,"AAAAAHJ+czQ=")</f>
        <v>#REF!</v>
      </c>
      <c r="BB27" t="e">
        <f>AND(#REF!,"AAAAAHJ+czU=")</f>
        <v>#REF!</v>
      </c>
      <c r="BC27" t="e">
        <f>AND(#REF!,"AAAAAHJ+czY=")</f>
        <v>#REF!</v>
      </c>
      <c r="BD27" t="e">
        <f>AND(#REF!,"AAAAAHJ+czc=")</f>
        <v>#REF!</v>
      </c>
      <c r="BE27" t="e">
        <f>AND(#REF!,"AAAAAHJ+czg=")</f>
        <v>#REF!</v>
      </c>
      <c r="BF27" t="e">
        <f>AND(#REF!,"AAAAAHJ+czk=")</f>
        <v>#REF!</v>
      </c>
      <c r="BG27" t="e">
        <f>IF(#REF!,"AAAAAHJ+czo=",0)</f>
        <v>#REF!</v>
      </c>
      <c r="BH27" t="e">
        <f>AND(#REF!,"AAAAAHJ+czs=")</f>
        <v>#REF!</v>
      </c>
      <c r="BI27" t="e">
        <f>AND(#REF!,"AAAAAHJ+czw=")</f>
        <v>#REF!</v>
      </c>
      <c r="BJ27" t="e">
        <f>AND(#REF!,"AAAAAHJ+cz0=")</f>
        <v>#REF!</v>
      </c>
      <c r="BK27" t="e">
        <f>AND(#REF!,"AAAAAHJ+cz4=")</f>
        <v>#REF!</v>
      </c>
      <c r="BL27" t="e">
        <f>AND(#REF!,"AAAAAHJ+cz8=")</f>
        <v>#REF!</v>
      </c>
      <c r="BM27" t="e">
        <f>AND(#REF!,"AAAAAHJ+c0A=")</f>
        <v>#REF!</v>
      </c>
      <c r="BN27" t="e">
        <f>AND(#REF!,"AAAAAHJ+c0E=")</f>
        <v>#REF!</v>
      </c>
      <c r="BO27" t="e">
        <f>AND(#REF!,"AAAAAHJ+c0I=")</f>
        <v>#REF!</v>
      </c>
      <c r="BP27" t="e">
        <f>AND(#REF!,"AAAAAHJ+c0M=")</f>
        <v>#REF!</v>
      </c>
      <c r="BQ27" t="e">
        <f>AND(#REF!,"AAAAAHJ+c0Q=")</f>
        <v>#REF!</v>
      </c>
      <c r="BR27" t="e">
        <f>IF(#REF!,"AAAAAHJ+c0U=",0)</f>
        <v>#REF!</v>
      </c>
      <c r="BS27" t="e">
        <f>AND(#REF!,"AAAAAHJ+c0Y=")</f>
        <v>#REF!</v>
      </c>
      <c r="BT27" t="e">
        <f>AND(#REF!,"AAAAAHJ+c0c=")</f>
        <v>#REF!</v>
      </c>
      <c r="BU27" t="e">
        <f>AND(#REF!,"AAAAAHJ+c0g=")</f>
        <v>#REF!</v>
      </c>
      <c r="BV27" t="e">
        <f>AND(#REF!,"AAAAAHJ+c0k=")</f>
        <v>#REF!</v>
      </c>
      <c r="BW27" t="e">
        <f>AND(#REF!,"AAAAAHJ+c0o=")</f>
        <v>#REF!</v>
      </c>
      <c r="BX27" t="e">
        <f>AND(#REF!,"AAAAAHJ+c0s=")</f>
        <v>#REF!</v>
      </c>
      <c r="BY27" t="e">
        <f>AND(#REF!,"AAAAAHJ+c0w=")</f>
        <v>#REF!</v>
      </c>
      <c r="BZ27" t="e">
        <f>AND(#REF!,"AAAAAHJ+c00=")</f>
        <v>#REF!</v>
      </c>
      <c r="CA27" t="e">
        <f>AND(#REF!,"AAAAAHJ+c04=")</f>
        <v>#REF!</v>
      </c>
      <c r="CB27" t="e">
        <f>AND(#REF!,"AAAAAHJ+c08=")</f>
        <v>#REF!</v>
      </c>
      <c r="CC27" t="e">
        <f>IF(#REF!,"AAAAAHJ+c1A=",0)</f>
        <v>#REF!</v>
      </c>
      <c r="CD27" t="e">
        <f>AND(#REF!,"AAAAAHJ+c1E=")</f>
        <v>#REF!</v>
      </c>
      <c r="CE27" t="e">
        <f>AND(#REF!,"AAAAAHJ+c1I=")</f>
        <v>#REF!</v>
      </c>
      <c r="CF27" t="e">
        <f>AND(#REF!,"AAAAAHJ+c1M=")</f>
        <v>#REF!</v>
      </c>
      <c r="CG27" t="e">
        <f>AND(#REF!,"AAAAAHJ+c1Q=")</f>
        <v>#REF!</v>
      </c>
      <c r="CH27" t="e">
        <f>AND(#REF!,"AAAAAHJ+c1U=")</f>
        <v>#REF!</v>
      </c>
      <c r="CI27" t="e">
        <f>AND(#REF!,"AAAAAHJ+c1Y=")</f>
        <v>#REF!</v>
      </c>
      <c r="CJ27" t="e">
        <f>AND(#REF!,"AAAAAHJ+c1c=")</f>
        <v>#REF!</v>
      </c>
      <c r="CK27" t="e">
        <f>AND(#REF!,"AAAAAHJ+c1g=")</f>
        <v>#REF!</v>
      </c>
      <c r="CL27" t="e">
        <f>AND(#REF!,"AAAAAHJ+c1k=")</f>
        <v>#REF!</v>
      </c>
      <c r="CM27" t="e">
        <f>AND(#REF!,"AAAAAHJ+c1o=")</f>
        <v>#REF!</v>
      </c>
      <c r="CN27" t="e">
        <f>IF(#REF!,"AAAAAHJ+c1s=",0)</f>
        <v>#REF!</v>
      </c>
      <c r="CO27" t="e">
        <f>AND(#REF!,"AAAAAHJ+c1w=")</f>
        <v>#REF!</v>
      </c>
      <c r="CP27" t="e">
        <f>AND(#REF!,"AAAAAHJ+c10=")</f>
        <v>#REF!</v>
      </c>
      <c r="CQ27" t="e">
        <f>AND(#REF!,"AAAAAHJ+c14=")</f>
        <v>#REF!</v>
      </c>
      <c r="CR27" t="e">
        <f>AND(#REF!,"AAAAAHJ+c18=")</f>
        <v>#REF!</v>
      </c>
      <c r="CS27" t="e">
        <f>AND(#REF!,"AAAAAHJ+c2A=")</f>
        <v>#REF!</v>
      </c>
      <c r="CT27" t="e">
        <f>AND(#REF!,"AAAAAHJ+c2E=")</f>
        <v>#REF!</v>
      </c>
      <c r="CU27" t="e">
        <f>AND(#REF!,"AAAAAHJ+c2I=")</f>
        <v>#REF!</v>
      </c>
      <c r="CV27" t="e">
        <f>AND(#REF!,"AAAAAHJ+c2M=")</f>
        <v>#REF!</v>
      </c>
      <c r="CW27" t="e">
        <f>AND(#REF!,"AAAAAHJ+c2Q=")</f>
        <v>#REF!</v>
      </c>
      <c r="CX27" t="e">
        <f>AND(#REF!,"AAAAAHJ+c2U=")</f>
        <v>#REF!</v>
      </c>
      <c r="CY27" t="e">
        <f>IF(#REF!,"AAAAAHJ+c2Y=",0)</f>
        <v>#REF!</v>
      </c>
      <c r="CZ27" t="e">
        <f>AND(#REF!,"AAAAAHJ+c2c=")</f>
        <v>#REF!</v>
      </c>
      <c r="DA27" t="e">
        <f>AND(#REF!,"AAAAAHJ+c2g=")</f>
        <v>#REF!</v>
      </c>
      <c r="DB27" t="e">
        <f>AND(#REF!,"AAAAAHJ+c2k=")</f>
        <v>#REF!</v>
      </c>
      <c r="DC27" t="e">
        <f>AND(#REF!,"AAAAAHJ+c2o=")</f>
        <v>#REF!</v>
      </c>
      <c r="DD27" t="e">
        <f>AND(#REF!,"AAAAAHJ+c2s=")</f>
        <v>#REF!</v>
      </c>
      <c r="DE27" t="e">
        <f>AND(#REF!,"AAAAAHJ+c2w=")</f>
        <v>#REF!</v>
      </c>
      <c r="DF27" t="e">
        <f>AND(#REF!,"AAAAAHJ+c20=")</f>
        <v>#REF!</v>
      </c>
      <c r="DG27" t="e">
        <f>AND(#REF!,"AAAAAHJ+c24=")</f>
        <v>#REF!</v>
      </c>
      <c r="DH27" t="e">
        <f>AND(#REF!,"AAAAAHJ+c28=")</f>
        <v>#REF!</v>
      </c>
      <c r="DI27" t="e">
        <f>AND(#REF!,"AAAAAHJ+c3A=")</f>
        <v>#REF!</v>
      </c>
      <c r="DJ27" t="e">
        <f>IF(#REF!,"AAAAAHJ+c3E=",0)</f>
        <v>#REF!</v>
      </c>
      <c r="DK27" t="e">
        <f>AND(#REF!,"AAAAAHJ+c3I=")</f>
        <v>#REF!</v>
      </c>
      <c r="DL27" t="e">
        <f>AND(#REF!,"AAAAAHJ+c3M=")</f>
        <v>#REF!</v>
      </c>
      <c r="DM27" t="e">
        <f>AND(#REF!,"AAAAAHJ+c3Q=")</f>
        <v>#REF!</v>
      </c>
      <c r="DN27" t="e">
        <f>AND(#REF!,"AAAAAHJ+c3U=")</f>
        <v>#REF!</v>
      </c>
      <c r="DO27" t="e">
        <f>AND(#REF!,"AAAAAHJ+c3Y=")</f>
        <v>#REF!</v>
      </c>
      <c r="DP27" t="e">
        <f>AND(#REF!,"AAAAAHJ+c3c=")</f>
        <v>#REF!</v>
      </c>
      <c r="DQ27" t="e">
        <f>AND(#REF!,"AAAAAHJ+c3g=")</f>
        <v>#REF!</v>
      </c>
      <c r="DR27" t="e">
        <f>AND(#REF!,"AAAAAHJ+c3k=")</f>
        <v>#REF!</v>
      </c>
      <c r="DS27" t="e">
        <f>AND(#REF!,"AAAAAHJ+c3o=")</f>
        <v>#REF!</v>
      </c>
      <c r="DT27" t="e">
        <f>AND(#REF!,"AAAAAHJ+c3s=")</f>
        <v>#REF!</v>
      </c>
      <c r="DU27" t="e">
        <f>IF(#REF!,"AAAAAHJ+c3w=",0)</f>
        <v>#REF!</v>
      </c>
      <c r="DV27" t="e">
        <f>AND(#REF!,"AAAAAHJ+c30=")</f>
        <v>#REF!</v>
      </c>
      <c r="DW27" t="e">
        <f>AND(#REF!,"AAAAAHJ+c34=")</f>
        <v>#REF!</v>
      </c>
      <c r="DX27" t="e">
        <f>AND(#REF!,"AAAAAHJ+c38=")</f>
        <v>#REF!</v>
      </c>
      <c r="DY27" t="e">
        <f>AND(#REF!,"AAAAAHJ+c4A=")</f>
        <v>#REF!</v>
      </c>
      <c r="DZ27" t="e">
        <f>AND(#REF!,"AAAAAHJ+c4E=")</f>
        <v>#REF!</v>
      </c>
      <c r="EA27" t="e">
        <f>AND(#REF!,"AAAAAHJ+c4I=")</f>
        <v>#REF!</v>
      </c>
      <c r="EB27" t="e">
        <f>AND(#REF!,"AAAAAHJ+c4M=")</f>
        <v>#REF!</v>
      </c>
      <c r="EC27" t="e">
        <f>AND(#REF!,"AAAAAHJ+c4Q=")</f>
        <v>#REF!</v>
      </c>
      <c r="ED27" t="e">
        <f>AND(#REF!,"AAAAAHJ+c4U=")</f>
        <v>#REF!</v>
      </c>
      <c r="EE27" t="e">
        <f>AND(#REF!,"AAAAAHJ+c4Y=")</f>
        <v>#REF!</v>
      </c>
      <c r="EF27" t="e">
        <f>IF(#REF!,"AAAAAHJ+c4c=",0)</f>
        <v>#REF!</v>
      </c>
      <c r="EG27" t="e">
        <f>IF(#REF!,"AAAAAHJ+c4g=",0)</f>
        <v>#REF!</v>
      </c>
      <c r="EH27" t="e">
        <f>IF(#REF!,"AAAAAHJ+c4k=",0)</f>
        <v>#REF!</v>
      </c>
      <c r="EI27" t="e">
        <f>IF(#REF!,"AAAAAHJ+c4o=",0)</f>
        <v>#REF!</v>
      </c>
      <c r="EJ27" t="e">
        <f>IF(#REF!,"AAAAAHJ+c4s=",0)</f>
        <v>#REF!</v>
      </c>
      <c r="EK27" t="e">
        <f>IF(#REF!,"AAAAAHJ+c4w=",0)</f>
        <v>#REF!</v>
      </c>
      <c r="EL27" t="e">
        <f>IF(#REF!,"AAAAAHJ+c40=",0)</f>
        <v>#REF!</v>
      </c>
      <c r="EM27" t="e">
        <f>IF(#REF!,"AAAAAHJ+c44=",0)</f>
        <v>#REF!</v>
      </c>
      <c r="EN27" t="e">
        <f>IF(#REF!,"AAAAAHJ+c48=",0)</f>
        <v>#REF!</v>
      </c>
      <c r="EO27" t="e">
        <f>IF(#REF!,"AAAAAHJ+c5A=",0)</f>
        <v>#REF!</v>
      </c>
      <c r="EP27" t="e">
        <f>IF(#REF!,"AAAAAHJ+c5E=",0)</f>
        <v>#REF!</v>
      </c>
      <c r="EQ27" t="e">
        <f>IF(#REF!,"AAAAAHJ+c5I=",0)</f>
        <v>#REF!</v>
      </c>
      <c r="ER27" t="e">
        <f>IF(#REF!,"AAAAAHJ+c5M=",0)</f>
        <v>#REF!</v>
      </c>
      <c r="ES27" t="e">
        <f>IF(#REF!,"AAAAAHJ+c5Q=",0)</f>
        <v>#REF!</v>
      </c>
      <c r="ET27" t="e">
        <f>IF(#REF!,"AAAAAHJ+c5U=",0)</f>
        <v>#REF!</v>
      </c>
      <c r="EU27" t="e">
        <f>AND(#REF!,"AAAAAHJ+c5Y=")</f>
        <v>#REF!</v>
      </c>
      <c r="EV27" t="e">
        <f>AND(#REF!,"AAAAAHJ+c5c=")</f>
        <v>#REF!</v>
      </c>
      <c r="EW27" t="e">
        <f>AND(#REF!,"AAAAAHJ+c5g=")</f>
        <v>#REF!</v>
      </c>
      <c r="EX27" t="e">
        <f>AND(#REF!,"AAAAAHJ+c5k=")</f>
        <v>#REF!</v>
      </c>
      <c r="EY27" t="e">
        <f>AND(#REF!,"AAAAAHJ+c5o=")</f>
        <v>#REF!</v>
      </c>
      <c r="EZ27" t="e">
        <f>AND(#REF!,"AAAAAHJ+c5s=")</f>
        <v>#REF!</v>
      </c>
      <c r="FA27" t="e">
        <f>AND(#REF!,"AAAAAHJ+c5w=")</f>
        <v>#REF!</v>
      </c>
      <c r="FB27" t="e">
        <f>AND(#REF!,"AAAAAHJ+c50=")</f>
        <v>#REF!</v>
      </c>
      <c r="FC27" t="e">
        <f>AND(#REF!,"AAAAAHJ+c54=")</f>
        <v>#REF!</v>
      </c>
      <c r="FD27" t="e">
        <f>AND(#REF!,"AAAAAHJ+c58=")</f>
        <v>#REF!</v>
      </c>
      <c r="FE27" t="e">
        <f>AND(#REF!,"AAAAAHJ+c6A=")</f>
        <v>#REF!</v>
      </c>
      <c r="FF27" t="e">
        <f>AND(#REF!,"AAAAAHJ+c6E=")</f>
        <v>#REF!</v>
      </c>
      <c r="FG27" t="e">
        <f>AND(#REF!,"AAAAAHJ+c6I=")</f>
        <v>#REF!</v>
      </c>
      <c r="FH27" t="e">
        <f>AND(#REF!,"AAAAAHJ+c6M=")</f>
        <v>#REF!</v>
      </c>
      <c r="FI27" t="e">
        <f>AND(#REF!,"AAAAAHJ+c6Q=")</f>
        <v>#REF!</v>
      </c>
      <c r="FJ27" t="e">
        <f>AND(#REF!,"AAAAAHJ+c6U=")</f>
        <v>#REF!</v>
      </c>
      <c r="FK27" t="e">
        <f>AND(#REF!,"AAAAAHJ+c6Y=")</f>
        <v>#REF!</v>
      </c>
      <c r="FL27" t="e">
        <f>AND(#REF!,"AAAAAHJ+c6c=")</f>
        <v>#REF!</v>
      </c>
      <c r="FM27" t="e">
        <f>IF(#REF!,"AAAAAHJ+c6g=",0)</f>
        <v>#REF!</v>
      </c>
      <c r="FN27" t="e">
        <f>AND(#REF!,"AAAAAHJ+c6k=")</f>
        <v>#REF!</v>
      </c>
      <c r="FO27" t="e">
        <f>AND(#REF!,"AAAAAHJ+c6o=")</f>
        <v>#REF!</v>
      </c>
      <c r="FP27" t="e">
        <f>AND(#REF!,"AAAAAHJ+c6s=")</f>
        <v>#REF!</v>
      </c>
      <c r="FQ27" t="e">
        <f>AND(#REF!,"AAAAAHJ+c6w=")</f>
        <v>#REF!</v>
      </c>
      <c r="FR27" t="e">
        <f>AND(#REF!,"AAAAAHJ+c60=")</f>
        <v>#REF!</v>
      </c>
      <c r="FS27" t="e">
        <f>AND(#REF!,"AAAAAHJ+c64=")</f>
        <v>#REF!</v>
      </c>
      <c r="FT27" t="e">
        <f>AND(#REF!,"AAAAAHJ+c68=")</f>
        <v>#REF!</v>
      </c>
      <c r="FU27" t="e">
        <f>AND(#REF!,"AAAAAHJ+c7A=")</f>
        <v>#REF!</v>
      </c>
      <c r="FV27" t="e">
        <f>AND(#REF!,"AAAAAHJ+c7E=")</f>
        <v>#REF!</v>
      </c>
      <c r="FW27" t="e">
        <f>AND(#REF!,"AAAAAHJ+c7I=")</f>
        <v>#REF!</v>
      </c>
      <c r="FX27" t="e">
        <f>AND(#REF!,"AAAAAHJ+c7M=")</f>
        <v>#REF!</v>
      </c>
      <c r="FY27" t="e">
        <f>AND(#REF!,"AAAAAHJ+c7Q=")</f>
        <v>#REF!</v>
      </c>
      <c r="FZ27" t="e">
        <f>AND(#REF!,"AAAAAHJ+c7U=")</f>
        <v>#REF!</v>
      </c>
      <c r="GA27" t="e">
        <f>AND(#REF!,"AAAAAHJ+c7Y=")</f>
        <v>#REF!</v>
      </c>
      <c r="GB27" t="e">
        <f>AND(#REF!,"AAAAAHJ+c7c=")</f>
        <v>#REF!</v>
      </c>
      <c r="GC27" t="e">
        <f>AND(#REF!,"AAAAAHJ+c7g=")</f>
        <v>#REF!</v>
      </c>
      <c r="GD27" t="e">
        <f>AND(#REF!,"AAAAAHJ+c7k=")</f>
        <v>#REF!</v>
      </c>
      <c r="GE27" t="e">
        <f>AND(#REF!,"AAAAAHJ+c7o=")</f>
        <v>#REF!</v>
      </c>
      <c r="GF27" t="e">
        <f>IF(#REF!,"AAAAAHJ+c7s=",0)</f>
        <v>#REF!</v>
      </c>
      <c r="GG27" t="e">
        <f>AND(#REF!,"AAAAAHJ+c7w=")</f>
        <v>#REF!</v>
      </c>
      <c r="GH27" t="e">
        <f>AND(#REF!,"AAAAAHJ+c70=")</f>
        <v>#REF!</v>
      </c>
      <c r="GI27" t="e">
        <f>AND(#REF!,"AAAAAHJ+c74=")</f>
        <v>#REF!</v>
      </c>
      <c r="GJ27" t="e">
        <f>AND(#REF!,"AAAAAHJ+c78=")</f>
        <v>#REF!</v>
      </c>
      <c r="GK27" t="e">
        <f>AND(#REF!,"AAAAAHJ+c8A=")</f>
        <v>#REF!</v>
      </c>
      <c r="GL27" t="e">
        <f>AND(#REF!,"AAAAAHJ+c8E=")</f>
        <v>#REF!</v>
      </c>
      <c r="GM27" t="e">
        <f>AND(#REF!,"AAAAAHJ+c8I=")</f>
        <v>#REF!</v>
      </c>
      <c r="GN27" t="e">
        <f>AND(#REF!,"AAAAAHJ+c8M=")</f>
        <v>#REF!</v>
      </c>
      <c r="GO27" t="e">
        <f>AND(#REF!,"AAAAAHJ+c8Q=")</f>
        <v>#REF!</v>
      </c>
      <c r="GP27" t="e">
        <f>AND(#REF!,"AAAAAHJ+c8U=")</f>
        <v>#REF!</v>
      </c>
      <c r="GQ27" t="e">
        <f>AND(#REF!,"AAAAAHJ+c8Y=")</f>
        <v>#REF!</v>
      </c>
      <c r="GR27" t="e">
        <f>AND(#REF!,"AAAAAHJ+c8c=")</f>
        <v>#REF!</v>
      </c>
      <c r="GS27" t="e">
        <f>AND(#REF!,"AAAAAHJ+c8g=")</f>
        <v>#REF!</v>
      </c>
      <c r="GT27" t="e">
        <f>AND(#REF!,"AAAAAHJ+c8k=")</f>
        <v>#REF!</v>
      </c>
      <c r="GU27" t="e">
        <f>AND(#REF!,"AAAAAHJ+c8o=")</f>
        <v>#REF!</v>
      </c>
      <c r="GV27" t="e">
        <f>AND(#REF!,"AAAAAHJ+c8s=")</f>
        <v>#REF!</v>
      </c>
      <c r="GW27" t="e">
        <f>AND(#REF!,"AAAAAHJ+c8w=")</f>
        <v>#REF!</v>
      </c>
      <c r="GX27" t="e">
        <f>AND(#REF!,"AAAAAHJ+c80=")</f>
        <v>#REF!</v>
      </c>
      <c r="GY27" t="e">
        <f>IF(#REF!,"AAAAAHJ+c84=",0)</f>
        <v>#REF!</v>
      </c>
      <c r="GZ27" t="e">
        <f>AND(#REF!,"AAAAAHJ+c88=")</f>
        <v>#REF!</v>
      </c>
      <c r="HA27" t="e">
        <f>AND(#REF!,"AAAAAHJ+c9A=")</f>
        <v>#REF!</v>
      </c>
      <c r="HB27" t="e">
        <f>AND(#REF!,"AAAAAHJ+c9E=")</f>
        <v>#REF!</v>
      </c>
      <c r="HC27" t="e">
        <f>AND(#REF!,"AAAAAHJ+c9I=")</f>
        <v>#REF!</v>
      </c>
      <c r="HD27" t="e">
        <f>AND(#REF!,"AAAAAHJ+c9M=")</f>
        <v>#REF!</v>
      </c>
      <c r="HE27" t="e">
        <f>AND(#REF!,"AAAAAHJ+c9Q=")</f>
        <v>#REF!</v>
      </c>
      <c r="HF27" t="e">
        <f>AND(#REF!,"AAAAAHJ+c9U=")</f>
        <v>#REF!</v>
      </c>
      <c r="HG27" t="e">
        <f>AND(#REF!,"AAAAAHJ+c9Y=")</f>
        <v>#REF!</v>
      </c>
      <c r="HH27" t="e">
        <f>AND(#REF!,"AAAAAHJ+c9c=")</f>
        <v>#REF!</v>
      </c>
      <c r="HI27" t="e">
        <f>AND(#REF!,"AAAAAHJ+c9g=")</f>
        <v>#REF!</v>
      </c>
      <c r="HJ27" t="e">
        <f>AND(#REF!,"AAAAAHJ+c9k=")</f>
        <v>#REF!</v>
      </c>
      <c r="HK27" t="e">
        <f>AND(#REF!,"AAAAAHJ+c9o=")</f>
        <v>#REF!</v>
      </c>
      <c r="HL27" t="e">
        <f>AND(#REF!,"AAAAAHJ+c9s=")</f>
        <v>#REF!</v>
      </c>
      <c r="HM27" t="e">
        <f>AND(#REF!,"AAAAAHJ+c9w=")</f>
        <v>#REF!</v>
      </c>
      <c r="HN27" t="e">
        <f>AND(#REF!,"AAAAAHJ+c90=")</f>
        <v>#REF!</v>
      </c>
      <c r="HO27" t="e">
        <f>AND(#REF!,"AAAAAHJ+c94=")</f>
        <v>#REF!</v>
      </c>
      <c r="HP27" t="e">
        <f>AND(#REF!,"AAAAAHJ+c98=")</f>
        <v>#REF!</v>
      </c>
      <c r="HQ27" t="e">
        <f>AND(#REF!,"AAAAAHJ+c+A=")</f>
        <v>#REF!</v>
      </c>
      <c r="HR27" t="e">
        <f>IF(#REF!,"AAAAAHJ+c+E=",0)</f>
        <v>#REF!</v>
      </c>
      <c r="HS27" t="e">
        <f>AND(#REF!,"AAAAAHJ+c+I=")</f>
        <v>#REF!</v>
      </c>
      <c r="HT27" t="e">
        <f>AND(#REF!,"AAAAAHJ+c+M=")</f>
        <v>#REF!</v>
      </c>
      <c r="HU27" t="e">
        <f>AND(#REF!,"AAAAAHJ+c+Q=")</f>
        <v>#REF!</v>
      </c>
      <c r="HV27" t="e">
        <f>AND(#REF!,"AAAAAHJ+c+U=")</f>
        <v>#REF!</v>
      </c>
      <c r="HW27" t="e">
        <f>AND(#REF!,"AAAAAHJ+c+Y=")</f>
        <v>#REF!</v>
      </c>
      <c r="HX27" t="e">
        <f>AND(#REF!,"AAAAAHJ+c+c=")</f>
        <v>#REF!</v>
      </c>
      <c r="HY27" t="e">
        <f>AND(#REF!,"AAAAAHJ+c+g=")</f>
        <v>#REF!</v>
      </c>
      <c r="HZ27" t="e">
        <f>AND(#REF!,"AAAAAHJ+c+k=")</f>
        <v>#REF!</v>
      </c>
      <c r="IA27" t="e">
        <f>AND(#REF!,"AAAAAHJ+c+o=")</f>
        <v>#REF!</v>
      </c>
      <c r="IB27" t="e">
        <f>AND(#REF!,"AAAAAHJ+c+s=")</f>
        <v>#REF!</v>
      </c>
      <c r="IC27" t="e">
        <f>AND(#REF!,"AAAAAHJ+c+w=")</f>
        <v>#REF!</v>
      </c>
      <c r="ID27" t="e">
        <f>AND(#REF!,"AAAAAHJ+c+0=")</f>
        <v>#REF!</v>
      </c>
      <c r="IE27" t="e">
        <f>AND(#REF!,"AAAAAHJ+c+4=")</f>
        <v>#REF!</v>
      </c>
      <c r="IF27" t="e">
        <f>AND(#REF!,"AAAAAHJ+c+8=")</f>
        <v>#REF!</v>
      </c>
      <c r="IG27" t="e">
        <f>AND(#REF!,"AAAAAHJ+c/A=")</f>
        <v>#REF!</v>
      </c>
      <c r="IH27" t="e">
        <f>AND(#REF!,"AAAAAHJ+c/E=")</f>
        <v>#REF!</v>
      </c>
      <c r="II27" t="e">
        <f>AND(#REF!,"AAAAAHJ+c/I=")</f>
        <v>#REF!</v>
      </c>
      <c r="IJ27" t="e">
        <f>AND(#REF!,"AAAAAHJ+c/M=")</f>
        <v>#REF!</v>
      </c>
      <c r="IK27" t="e">
        <f>IF(#REF!,"AAAAAHJ+c/Q=",0)</f>
        <v>#REF!</v>
      </c>
      <c r="IL27" t="e">
        <f>AND(#REF!,"AAAAAHJ+c/U=")</f>
        <v>#REF!</v>
      </c>
      <c r="IM27" t="e">
        <f>AND(#REF!,"AAAAAHJ+c/Y=")</f>
        <v>#REF!</v>
      </c>
      <c r="IN27" t="e">
        <f>AND(#REF!,"AAAAAHJ+c/c=")</f>
        <v>#REF!</v>
      </c>
      <c r="IO27" t="e">
        <f>AND(#REF!,"AAAAAHJ+c/g=")</f>
        <v>#REF!</v>
      </c>
      <c r="IP27" t="e">
        <f>AND(#REF!,"AAAAAHJ+c/k=")</f>
        <v>#REF!</v>
      </c>
      <c r="IQ27" t="e">
        <f>AND(#REF!,"AAAAAHJ+c/o=")</f>
        <v>#REF!</v>
      </c>
      <c r="IR27" t="e">
        <f>AND(#REF!,"AAAAAHJ+c/s=")</f>
        <v>#REF!</v>
      </c>
      <c r="IS27" t="e">
        <f>AND(#REF!,"AAAAAHJ+c/w=")</f>
        <v>#REF!</v>
      </c>
      <c r="IT27" t="e">
        <f>AND(#REF!,"AAAAAHJ+c/0=")</f>
        <v>#REF!</v>
      </c>
      <c r="IU27" t="e">
        <f>AND(#REF!,"AAAAAHJ+c/4=")</f>
        <v>#REF!</v>
      </c>
      <c r="IV27" t="e">
        <f>AND(#REF!,"AAAAAHJ+c/8=")</f>
        <v>#REF!</v>
      </c>
    </row>
    <row r="28" spans="1:256" ht="12.75">
      <c r="A28" t="e">
        <f>AND(#REF!,"AAAAADaPmwA=")</f>
        <v>#REF!</v>
      </c>
      <c r="B28" t="e">
        <f>AND(#REF!,"AAAAADaPmwE=")</f>
        <v>#REF!</v>
      </c>
      <c r="C28" t="e">
        <f>AND(#REF!,"AAAAADaPmwI=")</f>
        <v>#REF!</v>
      </c>
      <c r="D28" t="e">
        <f>AND(#REF!,"AAAAADaPmwM=")</f>
        <v>#REF!</v>
      </c>
      <c r="E28" t="e">
        <f>AND(#REF!,"AAAAADaPmwQ=")</f>
        <v>#REF!</v>
      </c>
      <c r="F28" t="e">
        <f>AND(#REF!,"AAAAADaPmwU=")</f>
        <v>#REF!</v>
      </c>
      <c r="G28" t="e">
        <f>AND(#REF!,"AAAAADaPmwY=")</f>
        <v>#REF!</v>
      </c>
      <c r="H28" t="e">
        <f>IF(#REF!,"AAAAADaPmwc=",0)</f>
        <v>#REF!</v>
      </c>
      <c r="I28" t="e">
        <f>AND(#REF!,"AAAAADaPmwg=")</f>
        <v>#REF!</v>
      </c>
      <c r="J28" t="e">
        <f>AND(#REF!,"AAAAADaPmwk=")</f>
        <v>#REF!</v>
      </c>
      <c r="K28" t="e">
        <f>AND(#REF!,"AAAAADaPmwo=")</f>
        <v>#REF!</v>
      </c>
      <c r="L28" t="e">
        <f>AND(#REF!,"AAAAADaPmws=")</f>
        <v>#REF!</v>
      </c>
      <c r="M28" t="e">
        <f>AND(#REF!,"AAAAADaPmww=")</f>
        <v>#REF!</v>
      </c>
      <c r="N28" t="e">
        <f>AND(#REF!,"AAAAADaPmw0=")</f>
        <v>#REF!</v>
      </c>
      <c r="O28" t="e">
        <f>AND(#REF!,"AAAAADaPmw4=")</f>
        <v>#REF!</v>
      </c>
      <c r="P28" t="e">
        <f>AND(#REF!,"AAAAADaPmw8=")</f>
        <v>#REF!</v>
      </c>
      <c r="Q28" t="e">
        <f>AND(#REF!,"AAAAADaPmxA=")</f>
        <v>#REF!</v>
      </c>
      <c r="R28" t="e">
        <f>AND(#REF!,"AAAAADaPmxE=")</f>
        <v>#REF!</v>
      </c>
      <c r="S28" t="e">
        <f>AND(#REF!,"AAAAADaPmxI=")</f>
        <v>#REF!</v>
      </c>
      <c r="T28" t="e">
        <f>AND(#REF!,"AAAAADaPmxM=")</f>
        <v>#REF!</v>
      </c>
      <c r="U28" t="e">
        <f>AND(#REF!,"AAAAADaPmxQ=")</f>
        <v>#REF!</v>
      </c>
      <c r="V28" t="e">
        <f>AND(#REF!,"AAAAADaPmxU=")</f>
        <v>#REF!</v>
      </c>
      <c r="W28" t="e">
        <f>AND(#REF!,"AAAAADaPmxY=")</f>
        <v>#REF!</v>
      </c>
      <c r="X28" t="e">
        <f>AND(#REF!,"AAAAADaPmxc=")</f>
        <v>#REF!</v>
      </c>
      <c r="Y28" t="e">
        <f>AND(#REF!,"AAAAADaPmxg=")</f>
        <v>#REF!</v>
      </c>
      <c r="Z28" t="e">
        <f>AND(#REF!,"AAAAADaPmxk=")</f>
        <v>#REF!</v>
      </c>
      <c r="AA28" t="e">
        <f>IF(#REF!,"AAAAADaPmxo=",0)</f>
        <v>#REF!</v>
      </c>
      <c r="AB28" t="e">
        <f>AND(#REF!,"AAAAADaPmxs=")</f>
        <v>#REF!</v>
      </c>
      <c r="AC28" t="e">
        <f>AND(#REF!,"AAAAADaPmxw=")</f>
        <v>#REF!</v>
      </c>
      <c r="AD28" t="e">
        <f>AND(#REF!,"AAAAADaPmx0=")</f>
        <v>#REF!</v>
      </c>
      <c r="AE28" t="e">
        <f>AND(#REF!,"AAAAADaPmx4=")</f>
        <v>#REF!</v>
      </c>
      <c r="AF28" t="e">
        <f>AND(#REF!,"AAAAADaPmx8=")</f>
        <v>#REF!</v>
      </c>
      <c r="AG28" t="e">
        <f>AND(#REF!,"AAAAADaPmyA=")</f>
        <v>#REF!</v>
      </c>
      <c r="AH28" t="e">
        <f>AND(#REF!,"AAAAADaPmyE=")</f>
        <v>#REF!</v>
      </c>
      <c r="AI28" t="e">
        <f>AND(#REF!,"AAAAADaPmyI=")</f>
        <v>#REF!</v>
      </c>
      <c r="AJ28" t="e">
        <f>AND(#REF!,"AAAAADaPmyM=")</f>
        <v>#REF!</v>
      </c>
      <c r="AK28" t="e">
        <f>AND(#REF!,"AAAAADaPmyQ=")</f>
        <v>#REF!</v>
      </c>
      <c r="AL28" t="e">
        <f>AND(#REF!,"AAAAADaPmyU=")</f>
        <v>#REF!</v>
      </c>
      <c r="AM28" t="e">
        <f>AND(#REF!,"AAAAADaPmyY=")</f>
        <v>#REF!</v>
      </c>
      <c r="AN28" t="e">
        <f>AND(#REF!,"AAAAADaPmyc=")</f>
        <v>#REF!</v>
      </c>
      <c r="AO28" t="e">
        <f>AND(#REF!,"AAAAADaPmyg=")</f>
        <v>#REF!</v>
      </c>
      <c r="AP28" t="e">
        <f>AND(#REF!,"AAAAADaPmyk=")</f>
        <v>#REF!</v>
      </c>
      <c r="AQ28" t="e">
        <f>AND(#REF!,"AAAAADaPmyo=")</f>
        <v>#REF!</v>
      </c>
      <c r="AR28" t="e">
        <f>AND(#REF!,"AAAAADaPmys=")</f>
        <v>#REF!</v>
      </c>
      <c r="AS28" t="e">
        <f>AND(#REF!,"AAAAADaPmyw=")</f>
        <v>#REF!</v>
      </c>
      <c r="AT28" t="e">
        <f>IF(#REF!,"AAAAADaPmy0=",0)</f>
        <v>#REF!</v>
      </c>
      <c r="AU28" t="e">
        <f>AND(#REF!,"AAAAADaPmy4=")</f>
        <v>#REF!</v>
      </c>
      <c r="AV28" t="e">
        <f>AND(#REF!,"AAAAADaPmy8=")</f>
        <v>#REF!</v>
      </c>
      <c r="AW28" t="e">
        <f>AND(#REF!,"AAAAADaPmzA=")</f>
        <v>#REF!</v>
      </c>
      <c r="AX28" t="e">
        <f>AND(#REF!,"AAAAADaPmzE=")</f>
        <v>#REF!</v>
      </c>
      <c r="AY28" t="e">
        <f>AND(#REF!,"AAAAADaPmzI=")</f>
        <v>#REF!</v>
      </c>
      <c r="AZ28" t="e">
        <f>AND(#REF!,"AAAAADaPmzM=")</f>
        <v>#REF!</v>
      </c>
      <c r="BA28" t="e">
        <f>AND(#REF!,"AAAAADaPmzQ=")</f>
        <v>#REF!</v>
      </c>
      <c r="BB28" t="e">
        <f>AND(#REF!,"AAAAADaPmzU=")</f>
        <v>#REF!</v>
      </c>
      <c r="BC28" t="e">
        <f>AND(#REF!,"AAAAADaPmzY=")</f>
        <v>#REF!</v>
      </c>
      <c r="BD28" t="e">
        <f>AND(#REF!,"AAAAADaPmzc=")</f>
        <v>#REF!</v>
      </c>
      <c r="BE28" t="e">
        <f>AND(#REF!,"AAAAADaPmzg=")</f>
        <v>#REF!</v>
      </c>
      <c r="BF28" t="e">
        <f>AND(#REF!,"AAAAADaPmzk=")</f>
        <v>#REF!</v>
      </c>
      <c r="BG28" t="e">
        <f>AND(#REF!,"AAAAADaPmzo=")</f>
        <v>#REF!</v>
      </c>
      <c r="BH28" t="e">
        <f>AND(#REF!,"AAAAADaPmzs=")</f>
        <v>#REF!</v>
      </c>
      <c r="BI28" t="e">
        <f>AND(#REF!,"AAAAADaPmzw=")</f>
        <v>#REF!</v>
      </c>
      <c r="BJ28" t="e">
        <f>AND(#REF!,"AAAAADaPmz0=")</f>
        <v>#REF!</v>
      </c>
      <c r="BK28" t="e">
        <f>AND(#REF!,"AAAAADaPmz4=")</f>
        <v>#REF!</v>
      </c>
      <c r="BL28" t="e">
        <f>AND(#REF!,"AAAAADaPmz8=")</f>
        <v>#REF!</v>
      </c>
      <c r="BM28" t="e">
        <f>IF(#REF!,"AAAAADaPm0A=",0)</f>
        <v>#REF!</v>
      </c>
      <c r="BN28" t="e">
        <f>AND(#REF!,"AAAAADaPm0E=")</f>
        <v>#REF!</v>
      </c>
      <c r="BO28" t="e">
        <f>AND(#REF!,"AAAAADaPm0I=")</f>
        <v>#REF!</v>
      </c>
      <c r="BP28" t="e">
        <f>AND(#REF!,"AAAAADaPm0M=")</f>
        <v>#REF!</v>
      </c>
      <c r="BQ28" t="e">
        <f>AND(#REF!,"AAAAADaPm0Q=")</f>
        <v>#REF!</v>
      </c>
      <c r="BR28" t="e">
        <f>AND(#REF!,"AAAAADaPm0U=")</f>
        <v>#REF!</v>
      </c>
      <c r="BS28" t="e">
        <f>AND(#REF!,"AAAAADaPm0Y=")</f>
        <v>#REF!</v>
      </c>
      <c r="BT28" t="e">
        <f>AND(#REF!,"AAAAADaPm0c=")</f>
        <v>#REF!</v>
      </c>
      <c r="BU28" t="e">
        <f>AND(#REF!,"AAAAADaPm0g=")</f>
        <v>#REF!</v>
      </c>
      <c r="BV28" t="e">
        <f>AND(#REF!,"AAAAADaPm0k=")</f>
        <v>#REF!</v>
      </c>
      <c r="BW28" t="e">
        <f>AND(#REF!,"AAAAADaPm0o=")</f>
        <v>#REF!</v>
      </c>
      <c r="BX28" t="e">
        <f>AND(#REF!,"AAAAADaPm0s=")</f>
        <v>#REF!</v>
      </c>
      <c r="BY28" t="e">
        <f>AND(#REF!,"AAAAADaPm0w=")</f>
        <v>#REF!</v>
      </c>
      <c r="BZ28" t="e">
        <f>AND(#REF!,"AAAAADaPm00=")</f>
        <v>#REF!</v>
      </c>
      <c r="CA28" t="e">
        <f>AND(#REF!,"AAAAADaPm04=")</f>
        <v>#REF!</v>
      </c>
      <c r="CB28" t="e">
        <f>AND(#REF!,"AAAAADaPm08=")</f>
        <v>#REF!</v>
      </c>
      <c r="CC28" t="e">
        <f>AND(#REF!,"AAAAADaPm1A=")</f>
        <v>#REF!</v>
      </c>
      <c r="CD28" t="e">
        <f>AND(#REF!,"AAAAADaPm1E=")</f>
        <v>#REF!</v>
      </c>
      <c r="CE28" t="e">
        <f>AND(#REF!,"AAAAADaPm1I=")</f>
        <v>#REF!</v>
      </c>
      <c r="CF28" t="e">
        <f>IF(#REF!,"AAAAADaPm1M=",0)</f>
        <v>#REF!</v>
      </c>
      <c r="CG28" t="e">
        <f>AND(#REF!,"AAAAADaPm1Q=")</f>
        <v>#REF!</v>
      </c>
      <c r="CH28" t="e">
        <f>AND(#REF!,"AAAAADaPm1U=")</f>
        <v>#REF!</v>
      </c>
      <c r="CI28" t="e">
        <f>AND(#REF!,"AAAAADaPm1Y=")</f>
        <v>#REF!</v>
      </c>
      <c r="CJ28" t="e">
        <f>AND(#REF!,"AAAAADaPm1c=")</f>
        <v>#REF!</v>
      </c>
      <c r="CK28" t="e">
        <f>AND(#REF!,"AAAAADaPm1g=")</f>
        <v>#REF!</v>
      </c>
      <c r="CL28" t="e">
        <f>AND(#REF!,"AAAAADaPm1k=")</f>
        <v>#REF!</v>
      </c>
      <c r="CM28" t="e">
        <f>AND(#REF!,"AAAAADaPm1o=")</f>
        <v>#REF!</v>
      </c>
      <c r="CN28" t="e">
        <f>AND(#REF!,"AAAAADaPm1s=")</f>
        <v>#REF!</v>
      </c>
      <c r="CO28" t="e">
        <f>AND(#REF!,"AAAAADaPm1w=")</f>
        <v>#REF!</v>
      </c>
      <c r="CP28" t="e">
        <f>AND(#REF!,"AAAAADaPm10=")</f>
        <v>#REF!</v>
      </c>
      <c r="CQ28" t="e">
        <f>AND(#REF!,"AAAAADaPm14=")</f>
        <v>#REF!</v>
      </c>
      <c r="CR28" t="e">
        <f>AND(#REF!,"AAAAADaPm18=")</f>
        <v>#REF!</v>
      </c>
      <c r="CS28" t="e">
        <f>AND(#REF!,"AAAAADaPm2A=")</f>
        <v>#REF!</v>
      </c>
      <c r="CT28" t="e">
        <f>AND(#REF!,"AAAAADaPm2E=")</f>
        <v>#REF!</v>
      </c>
      <c r="CU28" t="e">
        <f>AND(#REF!,"AAAAADaPm2I=")</f>
        <v>#REF!</v>
      </c>
      <c r="CV28" t="e">
        <f>AND(#REF!,"AAAAADaPm2M=")</f>
        <v>#REF!</v>
      </c>
      <c r="CW28" t="e">
        <f>AND(#REF!,"AAAAADaPm2Q=")</f>
        <v>#REF!</v>
      </c>
      <c r="CX28" t="e">
        <f>AND(#REF!,"AAAAADaPm2U=")</f>
        <v>#REF!</v>
      </c>
      <c r="CY28" t="e">
        <f>IF(#REF!,"AAAAADaPm2Y=",0)</f>
        <v>#REF!</v>
      </c>
      <c r="CZ28" t="e">
        <f>AND(#REF!,"AAAAADaPm2c=")</f>
        <v>#REF!</v>
      </c>
      <c r="DA28" t="e">
        <f>AND(#REF!,"AAAAADaPm2g=")</f>
        <v>#REF!</v>
      </c>
      <c r="DB28" t="e">
        <f>AND(#REF!,"AAAAADaPm2k=")</f>
        <v>#REF!</v>
      </c>
      <c r="DC28" t="e">
        <f>AND(#REF!,"AAAAADaPm2o=")</f>
        <v>#REF!</v>
      </c>
      <c r="DD28" t="e">
        <f>AND(#REF!,"AAAAADaPm2s=")</f>
        <v>#REF!</v>
      </c>
      <c r="DE28" t="e">
        <f>AND(#REF!,"AAAAADaPm2w=")</f>
        <v>#REF!</v>
      </c>
      <c r="DF28" t="e">
        <f>AND(#REF!,"AAAAADaPm20=")</f>
        <v>#REF!</v>
      </c>
      <c r="DG28" t="e">
        <f>AND(#REF!,"AAAAADaPm24=")</f>
        <v>#REF!</v>
      </c>
      <c r="DH28" t="e">
        <f>AND(#REF!,"AAAAADaPm28=")</f>
        <v>#REF!</v>
      </c>
      <c r="DI28" t="e">
        <f>AND(#REF!,"AAAAADaPm3A=")</f>
        <v>#REF!</v>
      </c>
      <c r="DJ28" t="e">
        <f>AND(#REF!,"AAAAADaPm3E=")</f>
        <v>#REF!</v>
      </c>
      <c r="DK28" t="e">
        <f>AND(#REF!,"AAAAADaPm3I=")</f>
        <v>#REF!</v>
      </c>
      <c r="DL28" t="e">
        <f>AND(#REF!,"AAAAADaPm3M=")</f>
        <v>#REF!</v>
      </c>
      <c r="DM28" t="e">
        <f>AND(#REF!,"AAAAADaPm3Q=")</f>
        <v>#REF!</v>
      </c>
      <c r="DN28" t="e">
        <f>AND(#REF!,"AAAAADaPm3U=")</f>
        <v>#REF!</v>
      </c>
      <c r="DO28" t="e">
        <f>AND(#REF!,"AAAAADaPm3Y=")</f>
        <v>#REF!</v>
      </c>
      <c r="DP28" t="e">
        <f>AND(#REF!,"AAAAADaPm3c=")</f>
        <v>#REF!</v>
      </c>
      <c r="DQ28" t="e">
        <f>AND(#REF!,"AAAAADaPm3g=")</f>
        <v>#REF!</v>
      </c>
      <c r="DR28" t="e">
        <f>IF(#REF!,"AAAAADaPm3k=",0)</f>
        <v>#REF!</v>
      </c>
      <c r="DS28" t="e">
        <f>AND(#REF!,"AAAAADaPm3o=")</f>
        <v>#REF!</v>
      </c>
      <c r="DT28" t="e">
        <f>AND(#REF!,"AAAAADaPm3s=")</f>
        <v>#REF!</v>
      </c>
      <c r="DU28" t="e">
        <f>AND(#REF!,"AAAAADaPm3w=")</f>
        <v>#REF!</v>
      </c>
      <c r="DV28" t="e">
        <f>AND(#REF!,"AAAAADaPm30=")</f>
        <v>#REF!</v>
      </c>
      <c r="DW28" t="e">
        <f>AND(#REF!,"AAAAADaPm34=")</f>
        <v>#REF!</v>
      </c>
      <c r="DX28" t="e">
        <f>AND(#REF!,"AAAAADaPm38=")</f>
        <v>#REF!</v>
      </c>
      <c r="DY28" t="e">
        <f>AND(#REF!,"AAAAADaPm4A=")</f>
        <v>#REF!</v>
      </c>
      <c r="DZ28" t="e">
        <f>AND(#REF!,"AAAAADaPm4E=")</f>
        <v>#REF!</v>
      </c>
      <c r="EA28" t="e">
        <f>AND(#REF!,"AAAAADaPm4I=")</f>
        <v>#REF!</v>
      </c>
      <c r="EB28" t="e">
        <f>AND(#REF!,"AAAAADaPm4M=")</f>
        <v>#REF!</v>
      </c>
      <c r="EC28" t="e">
        <f>AND(#REF!,"AAAAADaPm4Q=")</f>
        <v>#REF!</v>
      </c>
      <c r="ED28" t="e">
        <f>AND(#REF!,"AAAAADaPm4U=")</f>
        <v>#REF!</v>
      </c>
      <c r="EE28" t="e">
        <f>AND(#REF!,"AAAAADaPm4Y=")</f>
        <v>#REF!</v>
      </c>
      <c r="EF28" t="e">
        <f>AND(#REF!,"AAAAADaPm4c=")</f>
        <v>#REF!</v>
      </c>
      <c r="EG28" t="e">
        <f>AND(#REF!,"AAAAADaPm4g=")</f>
        <v>#REF!</v>
      </c>
      <c r="EH28" t="e">
        <f>AND(#REF!,"AAAAADaPm4k=")</f>
        <v>#REF!</v>
      </c>
      <c r="EI28" t="e">
        <f>AND(#REF!,"AAAAADaPm4o=")</f>
        <v>#REF!</v>
      </c>
      <c r="EJ28" t="e">
        <f>AND(#REF!,"AAAAADaPm4s=")</f>
        <v>#REF!</v>
      </c>
      <c r="EK28" t="e">
        <f>IF(#REF!,"AAAAADaPm4w=",0)</f>
        <v>#REF!</v>
      </c>
      <c r="EL28" t="e">
        <f>AND(#REF!,"AAAAADaPm40=")</f>
        <v>#REF!</v>
      </c>
      <c r="EM28" t="e">
        <f>AND(#REF!,"AAAAADaPm44=")</f>
        <v>#REF!</v>
      </c>
      <c r="EN28" t="e">
        <f>AND(#REF!,"AAAAADaPm48=")</f>
        <v>#REF!</v>
      </c>
      <c r="EO28" t="e">
        <f>AND(#REF!,"AAAAADaPm5A=")</f>
        <v>#REF!</v>
      </c>
      <c r="EP28" t="e">
        <f>AND(#REF!,"AAAAADaPm5E=")</f>
        <v>#REF!</v>
      </c>
      <c r="EQ28" t="e">
        <f>AND(#REF!,"AAAAADaPm5I=")</f>
        <v>#REF!</v>
      </c>
      <c r="ER28" t="e">
        <f>AND(#REF!,"AAAAADaPm5M=")</f>
        <v>#REF!</v>
      </c>
      <c r="ES28" t="e">
        <f>AND(#REF!,"AAAAADaPm5Q=")</f>
        <v>#REF!</v>
      </c>
      <c r="ET28" t="e">
        <f>AND(#REF!,"AAAAADaPm5U=")</f>
        <v>#REF!</v>
      </c>
      <c r="EU28" t="e">
        <f>AND(#REF!,"AAAAADaPm5Y=")</f>
        <v>#REF!</v>
      </c>
      <c r="EV28" t="e">
        <f>AND(#REF!,"AAAAADaPm5c=")</f>
        <v>#REF!</v>
      </c>
      <c r="EW28" t="e">
        <f>AND(#REF!,"AAAAADaPm5g=")</f>
        <v>#REF!</v>
      </c>
      <c r="EX28" t="e">
        <f>AND(#REF!,"AAAAADaPm5k=")</f>
        <v>#REF!</v>
      </c>
      <c r="EY28" t="e">
        <f>AND(#REF!,"AAAAADaPm5o=")</f>
        <v>#REF!</v>
      </c>
      <c r="EZ28" t="e">
        <f>AND(#REF!,"AAAAADaPm5s=")</f>
        <v>#REF!</v>
      </c>
      <c r="FA28" t="e">
        <f>AND(#REF!,"AAAAADaPm5w=")</f>
        <v>#REF!</v>
      </c>
      <c r="FB28" t="e">
        <f>AND(#REF!,"AAAAADaPm50=")</f>
        <v>#REF!</v>
      </c>
      <c r="FC28" t="e">
        <f>AND(#REF!,"AAAAADaPm54=")</f>
        <v>#REF!</v>
      </c>
      <c r="FD28" t="e">
        <f>IF(#REF!,"AAAAADaPm58=",0)</f>
        <v>#REF!</v>
      </c>
      <c r="FE28" t="e">
        <f>AND(#REF!,"AAAAADaPm6A=")</f>
        <v>#REF!</v>
      </c>
      <c r="FF28" t="e">
        <f>AND(#REF!,"AAAAADaPm6E=")</f>
        <v>#REF!</v>
      </c>
      <c r="FG28" t="e">
        <f>AND(#REF!,"AAAAADaPm6I=")</f>
        <v>#REF!</v>
      </c>
      <c r="FH28" t="e">
        <f>AND(#REF!,"AAAAADaPm6M=")</f>
        <v>#REF!</v>
      </c>
      <c r="FI28" t="e">
        <f>AND(#REF!,"AAAAADaPm6Q=")</f>
        <v>#REF!</v>
      </c>
      <c r="FJ28" t="e">
        <f>AND(#REF!,"AAAAADaPm6U=")</f>
        <v>#REF!</v>
      </c>
      <c r="FK28" t="e">
        <f>AND(#REF!,"AAAAADaPm6Y=")</f>
        <v>#REF!</v>
      </c>
      <c r="FL28" t="e">
        <f>AND(#REF!,"AAAAADaPm6c=")</f>
        <v>#REF!</v>
      </c>
      <c r="FM28" t="e">
        <f>AND(#REF!,"AAAAADaPm6g=")</f>
        <v>#REF!</v>
      </c>
      <c r="FN28" t="e">
        <f>AND(#REF!,"AAAAADaPm6k=")</f>
        <v>#REF!</v>
      </c>
      <c r="FO28" t="e">
        <f>AND(#REF!,"AAAAADaPm6o=")</f>
        <v>#REF!</v>
      </c>
      <c r="FP28" t="e">
        <f>AND(#REF!,"AAAAADaPm6s=")</f>
        <v>#REF!</v>
      </c>
      <c r="FQ28" t="e">
        <f>AND(#REF!,"AAAAADaPm6w=")</f>
        <v>#REF!</v>
      </c>
      <c r="FR28" t="e">
        <f>AND(#REF!,"AAAAADaPm60=")</f>
        <v>#REF!</v>
      </c>
      <c r="FS28" t="e">
        <f>AND(#REF!,"AAAAADaPm64=")</f>
        <v>#REF!</v>
      </c>
      <c r="FT28" t="e">
        <f>AND(#REF!,"AAAAADaPm68=")</f>
        <v>#REF!</v>
      </c>
      <c r="FU28" t="e">
        <f>AND(#REF!,"AAAAADaPm7A=")</f>
        <v>#REF!</v>
      </c>
      <c r="FV28" t="e">
        <f>AND(#REF!,"AAAAADaPm7E=")</f>
        <v>#REF!</v>
      </c>
      <c r="FW28" t="e">
        <f>IF(#REF!,"AAAAADaPm7I=",0)</f>
        <v>#REF!</v>
      </c>
      <c r="FX28" t="e">
        <f>AND(#REF!,"AAAAADaPm7M=")</f>
        <v>#REF!</v>
      </c>
      <c r="FY28" t="e">
        <f>AND(#REF!,"AAAAADaPm7Q=")</f>
        <v>#REF!</v>
      </c>
      <c r="FZ28" t="e">
        <f>AND(#REF!,"AAAAADaPm7U=")</f>
        <v>#REF!</v>
      </c>
      <c r="GA28" t="e">
        <f>AND(#REF!,"AAAAADaPm7Y=")</f>
        <v>#REF!</v>
      </c>
      <c r="GB28" t="e">
        <f>AND(#REF!,"AAAAADaPm7c=")</f>
        <v>#REF!</v>
      </c>
      <c r="GC28" t="e">
        <f>AND(#REF!,"AAAAADaPm7g=")</f>
        <v>#REF!</v>
      </c>
      <c r="GD28" t="e">
        <f>AND(#REF!,"AAAAADaPm7k=")</f>
        <v>#REF!</v>
      </c>
      <c r="GE28" t="e">
        <f>AND(#REF!,"AAAAADaPm7o=")</f>
        <v>#REF!</v>
      </c>
      <c r="GF28" t="e">
        <f>AND(#REF!,"AAAAADaPm7s=")</f>
        <v>#REF!</v>
      </c>
      <c r="GG28" t="e">
        <f>AND(#REF!,"AAAAADaPm7w=")</f>
        <v>#REF!</v>
      </c>
      <c r="GH28" t="e">
        <f>AND(#REF!,"AAAAADaPm70=")</f>
        <v>#REF!</v>
      </c>
      <c r="GI28" t="e">
        <f>AND(#REF!,"AAAAADaPm74=")</f>
        <v>#REF!</v>
      </c>
      <c r="GJ28" t="e">
        <f>AND(#REF!,"AAAAADaPm78=")</f>
        <v>#REF!</v>
      </c>
      <c r="GK28" t="e">
        <f>AND(#REF!,"AAAAADaPm8A=")</f>
        <v>#REF!</v>
      </c>
      <c r="GL28" t="e">
        <f>AND(#REF!,"AAAAADaPm8E=")</f>
        <v>#REF!</v>
      </c>
      <c r="GM28" t="e">
        <f>AND(#REF!,"AAAAADaPm8I=")</f>
        <v>#REF!</v>
      </c>
      <c r="GN28" t="e">
        <f>AND(#REF!,"AAAAADaPm8M=")</f>
        <v>#REF!</v>
      </c>
      <c r="GO28" t="e">
        <f>AND(#REF!,"AAAAADaPm8Q=")</f>
        <v>#REF!</v>
      </c>
      <c r="GP28" t="e">
        <f>IF(#REF!,"AAAAADaPm8U=",0)</f>
        <v>#REF!</v>
      </c>
      <c r="GQ28" t="e">
        <f>AND(#REF!,"AAAAADaPm8Y=")</f>
        <v>#REF!</v>
      </c>
      <c r="GR28" t="e">
        <f>AND(#REF!,"AAAAADaPm8c=")</f>
        <v>#REF!</v>
      </c>
      <c r="GS28" t="e">
        <f>AND(#REF!,"AAAAADaPm8g=")</f>
        <v>#REF!</v>
      </c>
      <c r="GT28" t="e">
        <f>AND(#REF!,"AAAAADaPm8k=")</f>
        <v>#REF!</v>
      </c>
      <c r="GU28" t="e">
        <f>AND(#REF!,"AAAAADaPm8o=")</f>
        <v>#REF!</v>
      </c>
      <c r="GV28" t="e">
        <f>AND(#REF!,"AAAAADaPm8s=")</f>
        <v>#REF!</v>
      </c>
      <c r="GW28" t="e">
        <f>AND(#REF!,"AAAAADaPm8w=")</f>
        <v>#REF!</v>
      </c>
      <c r="GX28" t="e">
        <f>AND(#REF!,"AAAAADaPm80=")</f>
        <v>#REF!</v>
      </c>
      <c r="GY28" t="e">
        <f>AND(#REF!,"AAAAADaPm84=")</f>
        <v>#REF!</v>
      </c>
      <c r="GZ28" t="e">
        <f>AND(#REF!,"AAAAADaPm88=")</f>
        <v>#REF!</v>
      </c>
      <c r="HA28" t="e">
        <f>AND(#REF!,"AAAAADaPm9A=")</f>
        <v>#REF!</v>
      </c>
      <c r="HB28" t="e">
        <f>AND(#REF!,"AAAAADaPm9E=")</f>
        <v>#REF!</v>
      </c>
      <c r="HC28" t="e">
        <f>AND(#REF!,"AAAAADaPm9I=")</f>
        <v>#REF!</v>
      </c>
      <c r="HD28" t="e">
        <f>AND(#REF!,"AAAAADaPm9M=")</f>
        <v>#REF!</v>
      </c>
      <c r="HE28" t="e">
        <f>AND(#REF!,"AAAAADaPm9Q=")</f>
        <v>#REF!</v>
      </c>
      <c r="HF28" t="e">
        <f>AND(#REF!,"AAAAADaPm9U=")</f>
        <v>#REF!</v>
      </c>
      <c r="HG28" t="e">
        <f>AND(#REF!,"AAAAADaPm9Y=")</f>
        <v>#REF!</v>
      </c>
      <c r="HH28" t="e">
        <f>AND(#REF!,"AAAAADaPm9c=")</f>
        <v>#REF!</v>
      </c>
      <c r="HI28" t="e">
        <f>IF(#REF!,"AAAAADaPm9g=",0)</f>
        <v>#REF!</v>
      </c>
      <c r="HJ28" t="e">
        <f>AND(#REF!,"AAAAADaPm9k=")</f>
        <v>#REF!</v>
      </c>
      <c r="HK28" t="e">
        <f>AND(#REF!,"AAAAADaPm9o=")</f>
        <v>#REF!</v>
      </c>
      <c r="HL28" t="e">
        <f>AND(#REF!,"AAAAADaPm9s=")</f>
        <v>#REF!</v>
      </c>
      <c r="HM28" t="e">
        <f>AND(#REF!,"AAAAADaPm9w=")</f>
        <v>#REF!</v>
      </c>
      <c r="HN28" t="e">
        <f>AND(#REF!,"AAAAADaPm90=")</f>
        <v>#REF!</v>
      </c>
      <c r="HO28" t="e">
        <f>AND(#REF!,"AAAAADaPm94=")</f>
        <v>#REF!</v>
      </c>
      <c r="HP28" t="e">
        <f>AND(#REF!,"AAAAADaPm98=")</f>
        <v>#REF!</v>
      </c>
      <c r="HQ28" t="e">
        <f>AND(#REF!,"AAAAADaPm+A=")</f>
        <v>#REF!</v>
      </c>
      <c r="HR28" t="e">
        <f>AND(#REF!,"AAAAADaPm+E=")</f>
        <v>#REF!</v>
      </c>
      <c r="HS28" t="e">
        <f>AND(#REF!,"AAAAADaPm+I=")</f>
        <v>#REF!</v>
      </c>
      <c r="HT28" t="e">
        <f>AND(#REF!,"AAAAADaPm+M=")</f>
        <v>#REF!</v>
      </c>
      <c r="HU28" t="e">
        <f>AND(#REF!,"AAAAADaPm+Q=")</f>
        <v>#REF!</v>
      </c>
      <c r="HV28" t="e">
        <f>AND(#REF!,"AAAAADaPm+U=")</f>
        <v>#REF!</v>
      </c>
      <c r="HW28" t="e">
        <f>AND(#REF!,"AAAAADaPm+Y=")</f>
        <v>#REF!</v>
      </c>
      <c r="HX28" t="e">
        <f>AND(#REF!,"AAAAADaPm+c=")</f>
        <v>#REF!</v>
      </c>
      <c r="HY28" t="e">
        <f>AND(#REF!,"AAAAADaPm+g=")</f>
        <v>#REF!</v>
      </c>
      <c r="HZ28" t="e">
        <f>AND(#REF!,"AAAAADaPm+k=")</f>
        <v>#REF!</v>
      </c>
      <c r="IA28" t="e">
        <f>AND(#REF!,"AAAAADaPm+o=")</f>
        <v>#REF!</v>
      </c>
      <c r="IB28" t="e">
        <f>IF(#REF!,"AAAAADaPm+s=",0)</f>
        <v>#REF!</v>
      </c>
      <c r="IC28" t="e">
        <f>AND(#REF!,"AAAAADaPm+w=")</f>
        <v>#REF!</v>
      </c>
      <c r="ID28" t="e">
        <f>AND(#REF!,"AAAAADaPm+0=")</f>
        <v>#REF!</v>
      </c>
      <c r="IE28" t="e">
        <f>AND(#REF!,"AAAAADaPm+4=")</f>
        <v>#REF!</v>
      </c>
      <c r="IF28" t="e">
        <f>AND(#REF!,"AAAAADaPm+8=")</f>
        <v>#REF!</v>
      </c>
      <c r="IG28" t="e">
        <f>AND(#REF!,"AAAAADaPm/A=")</f>
        <v>#REF!</v>
      </c>
      <c r="IH28" t="e">
        <f>AND(#REF!,"AAAAADaPm/E=")</f>
        <v>#REF!</v>
      </c>
      <c r="II28" t="e">
        <f>AND(#REF!,"AAAAADaPm/I=")</f>
        <v>#REF!</v>
      </c>
      <c r="IJ28" t="e">
        <f>AND(#REF!,"AAAAADaPm/M=")</f>
        <v>#REF!</v>
      </c>
      <c r="IK28" t="e">
        <f>AND(#REF!,"AAAAADaPm/Q=")</f>
        <v>#REF!</v>
      </c>
      <c r="IL28" t="e">
        <f>AND(#REF!,"AAAAADaPm/U=")</f>
        <v>#REF!</v>
      </c>
      <c r="IM28" t="e">
        <f>AND(#REF!,"AAAAADaPm/Y=")</f>
        <v>#REF!</v>
      </c>
      <c r="IN28" t="e">
        <f>AND(#REF!,"AAAAADaPm/c=")</f>
        <v>#REF!</v>
      </c>
      <c r="IO28" t="e">
        <f>AND(#REF!,"AAAAADaPm/g=")</f>
        <v>#REF!</v>
      </c>
      <c r="IP28" t="e">
        <f>AND(#REF!,"AAAAADaPm/k=")</f>
        <v>#REF!</v>
      </c>
      <c r="IQ28" t="e">
        <f>AND(#REF!,"AAAAADaPm/o=")</f>
        <v>#REF!</v>
      </c>
      <c r="IR28" t="e">
        <f>AND(#REF!,"AAAAADaPm/s=")</f>
        <v>#REF!</v>
      </c>
      <c r="IS28" t="e">
        <f>AND(#REF!,"AAAAADaPm/w=")</f>
        <v>#REF!</v>
      </c>
      <c r="IT28" t="e">
        <f>AND(#REF!,"AAAAADaPm/0=")</f>
        <v>#REF!</v>
      </c>
      <c r="IU28" t="e">
        <f>IF(#REF!,"AAAAADaPm/4=",0)</f>
        <v>#REF!</v>
      </c>
      <c r="IV28" t="e">
        <f>AND(#REF!,"AAAAADaPm/8=")</f>
        <v>#REF!</v>
      </c>
    </row>
    <row r="29" spans="1:256" ht="12.75">
      <c r="A29" t="e">
        <f>AND(#REF!,"AAAAAHb/dwA=")</f>
        <v>#REF!</v>
      </c>
      <c r="B29" t="e">
        <f>AND(#REF!,"AAAAAHb/dwE=")</f>
        <v>#REF!</v>
      </c>
      <c r="C29" t="e">
        <f>AND(#REF!,"AAAAAHb/dwI=")</f>
        <v>#REF!</v>
      </c>
      <c r="D29" t="e">
        <f>AND(#REF!,"AAAAAHb/dwM=")</f>
        <v>#REF!</v>
      </c>
      <c r="E29" t="e">
        <f>AND(#REF!,"AAAAAHb/dwQ=")</f>
        <v>#REF!</v>
      </c>
      <c r="F29" t="e">
        <f>AND(#REF!,"AAAAAHb/dwU=")</f>
        <v>#REF!</v>
      </c>
      <c r="G29" t="e">
        <f>AND(#REF!,"AAAAAHb/dwY=")</f>
        <v>#REF!</v>
      </c>
      <c r="H29" t="e">
        <f>AND(#REF!,"AAAAAHb/dwc=")</f>
        <v>#REF!</v>
      </c>
      <c r="I29" t="e">
        <f>AND(#REF!,"AAAAAHb/dwg=")</f>
        <v>#REF!</v>
      </c>
      <c r="J29" t="e">
        <f>AND(#REF!,"AAAAAHb/dwk=")</f>
        <v>#REF!</v>
      </c>
      <c r="K29" t="e">
        <f>AND(#REF!,"AAAAAHb/dwo=")</f>
        <v>#REF!</v>
      </c>
      <c r="L29" t="e">
        <f>AND(#REF!,"AAAAAHb/dws=")</f>
        <v>#REF!</v>
      </c>
      <c r="M29" t="e">
        <f>AND(#REF!,"AAAAAHb/dww=")</f>
        <v>#REF!</v>
      </c>
      <c r="N29" t="e">
        <f>AND(#REF!,"AAAAAHb/dw0=")</f>
        <v>#REF!</v>
      </c>
      <c r="O29" t="e">
        <f>AND(#REF!,"AAAAAHb/dw4=")</f>
        <v>#REF!</v>
      </c>
      <c r="P29" t="e">
        <f>AND(#REF!,"AAAAAHb/dw8=")</f>
        <v>#REF!</v>
      </c>
      <c r="Q29" t="e">
        <f>AND(#REF!,"AAAAAHb/dxA=")</f>
        <v>#REF!</v>
      </c>
      <c r="R29" t="e">
        <f>IF(#REF!,"AAAAAHb/dxE=",0)</f>
        <v>#REF!</v>
      </c>
      <c r="S29" t="e">
        <f>AND(#REF!,"AAAAAHb/dxI=")</f>
        <v>#REF!</v>
      </c>
      <c r="T29" t="e">
        <f>AND(#REF!,"AAAAAHb/dxM=")</f>
        <v>#REF!</v>
      </c>
      <c r="U29" t="e">
        <f>AND(#REF!,"AAAAAHb/dxQ=")</f>
        <v>#REF!</v>
      </c>
      <c r="V29" t="e">
        <f>AND(#REF!,"AAAAAHb/dxU=")</f>
        <v>#REF!</v>
      </c>
      <c r="W29" t="e">
        <f>AND(#REF!,"AAAAAHb/dxY=")</f>
        <v>#REF!</v>
      </c>
      <c r="X29" t="e">
        <f>AND(#REF!,"AAAAAHb/dxc=")</f>
        <v>#REF!</v>
      </c>
      <c r="Y29" t="e">
        <f>AND(#REF!,"AAAAAHb/dxg=")</f>
        <v>#REF!</v>
      </c>
      <c r="Z29" t="e">
        <f>AND(#REF!,"AAAAAHb/dxk=")</f>
        <v>#REF!</v>
      </c>
      <c r="AA29" t="e">
        <f>AND(#REF!,"AAAAAHb/dxo=")</f>
        <v>#REF!</v>
      </c>
      <c r="AB29" t="e">
        <f>AND(#REF!,"AAAAAHb/dxs=")</f>
        <v>#REF!</v>
      </c>
      <c r="AC29" t="e">
        <f>AND(#REF!,"AAAAAHb/dxw=")</f>
        <v>#REF!</v>
      </c>
      <c r="AD29" t="e">
        <f>AND(#REF!,"AAAAAHb/dx0=")</f>
        <v>#REF!</v>
      </c>
      <c r="AE29" t="e">
        <f>AND(#REF!,"AAAAAHb/dx4=")</f>
        <v>#REF!</v>
      </c>
      <c r="AF29" t="e">
        <f>AND(#REF!,"AAAAAHb/dx8=")</f>
        <v>#REF!</v>
      </c>
      <c r="AG29" t="e">
        <f>AND(#REF!,"AAAAAHb/dyA=")</f>
        <v>#REF!</v>
      </c>
      <c r="AH29" t="e">
        <f>AND(#REF!,"AAAAAHb/dyE=")</f>
        <v>#REF!</v>
      </c>
      <c r="AI29" t="e">
        <f>AND(#REF!,"AAAAAHb/dyI=")</f>
        <v>#REF!</v>
      </c>
      <c r="AJ29" t="e">
        <f>AND(#REF!,"AAAAAHb/dyM=")</f>
        <v>#REF!</v>
      </c>
      <c r="AK29" t="e">
        <f>IF(#REF!,"AAAAAHb/dyQ=",0)</f>
        <v>#REF!</v>
      </c>
      <c r="AL29" t="e">
        <f>AND(#REF!,"AAAAAHb/dyU=")</f>
        <v>#REF!</v>
      </c>
      <c r="AM29" t="e">
        <f>AND(#REF!,"AAAAAHb/dyY=")</f>
        <v>#REF!</v>
      </c>
      <c r="AN29" t="e">
        <f>AND(#REF!,"AAAAAHb/dyc=")</f>
        <v>#REF!</v>
      </c>
      <c r="AO29" t="e">
        <f>AND(#REF!,"AAAAAHb/dyg=")</f>
        <v>#REF!</v>
      </c>
      <c r="AP29" t="e">
        <f>AND(#REF!,"AAAAAHb/dyk=")</f>
        <v>#REF!</v>
      </c>
      <c r="AQ29" t="e">
        <f>AND(#REF!,"AAAAAHb/dyo=")</f>
        <v>#REF!</v>
      </c>
      <c r="AR29" t="e">
        <f>AND(#REF!,"AAAAAHb/dys=")</f>
        <v>#REF!</v>
      </c>
      <c r="AS29" t="e">
        <f>AND(#REF!,"AAAAAHb/dyw=")</f>
        <v>#REF!</v>
      </c>
      <c r="AT29" t="e">
        <f>AND(#REF!,"AAAAAHb/dy0=")</f>
        <v>#REF!</v>
      </c>
      <c r="AU29" t="e">
        <f>AND(#REF!,"AAAAAHb/dy4=")</f>
        <v>#REF!</v>
      </c>
      <c r="AV29" t="e">
        <f>AND(#REF!,"AAAAAHb/dy8=")</f>
        <v>#REF!</v>
      </c>
      <c r="AW29" t="e">
        <f>AND(#REF!,"AAAAAHb/dzA=")</f>
        <v>#REF!</v>
      </c>
      <c r="AX29" t="e">
        <f>AND(#REF!,"AAAAAHb/dzE=")</f>
        <v>#REF!</v>
      </c>
      <c r="AY29" t="e">
        <f>AND(#REF!,"AAAAAHb/dzI=")</f>
        <v>#REF!</v>
      </c>
      <c r="AZ29" t="e">
        <f>AND(#REF!,"AAAAAHb/dzM=")</f>
        <v>#REF!</v>
      </c>
      <c r="BA29" t="e">
        <f>AND(#REF!,"AAAAAHb/dzQ=")</f>
        <v>#REF!</v>
      </c>
      <c r="BB29" t="e">
        <f>AND(#REF!,"AAAAAHb/dzU=")</f>
        <v>#REF!</v>
      </c>
      <c r="BC29" t="e">
        <f>AND(#REF!,"AAAAAHb/dzY=")</f>
        <v>#REF!</v>
      </c>
      <c r="BD29" t="e">
        <f>IF(#REF!,"AAAAAHb/dzc=",0)</f>
        <v>#REF!</v>
      </c>
      <c r="BE29" t="e">
        <f>AND(#REF!,"AAAAAHb/dzg=")</f>
        <v>#REF!</v>
      </c>
      <c r="BF29" t="e">
        <f>AND(#REF!,"AAAAAHb/dzk=")</f>
        <v>#REF!</v>
      </c>
      <c r="BG29" t="e">
        <f>AND(#REF!,"AAAAAHb/dzo=")</f>
        <v>#REF!</v>
      </c>
      <c r="BH29" t="e">
        <f>AND(#REF!,"AAAAAHb/dzs=")</f>
        <v>#REF!</v>
      </c>
      <c r="BI29" t="e">
        <f>AND(#REF!,"AAAAAHb/dzw=")</f>
        <v>#REF!</v>
      </c>
      <c r="BJ29" t="e">
        <f>AND(#REF!,"AAAAAHb/dz0=")</f>
        <v>#REF!</v>
      </c>
      <c r="BK29" t="e">
        <f>AND(#REF!,"AAAAAHb/dz4=")</f>
        <v>#REF!</v>
      </c>
      <c r="BL29" t="e">
        <f>AND(#REF!,"AAAAAHb/dz8=")</f>
        <v>#REF!</v>
      </c>
      <c r="BM29" t="e">
        <f>AND(#REF!,"AAAAAHb/d0A=")</f>
        <v>#REF!</v>
      </c>
      <c r="BN29" t="e">
        <f>AND(#REF!,"AAAAAHb/d0E=")</f>
        <v>#REF!</v>
      </c>
      <c r="BO29" t="e">
        <f>AND(#REF!,"AAAAAHb/d0I=")</f>
        <v>#REF!</v>
      </c>
      <c r="BP29" t="e">
        <f>AND(#REF!,"AAAAAHb/d0M=")</f>
        <v>#REF!</v>
      </c>
      <c r="BQ29" t="e">
        <f>AND(#REF!,"AAAAAHb/d0Q=")</f>
        <v>#REF!</v>
      </c>
      <c r="BR29" t="e">
        <f>AND(#REF!,"AAAAAHb/d0U=")</f>
        <v>#REF!</v>
      </c>
      <c r="BS29" t="e">
        <f>AND(#REF!,"AAAAAHb/d0Y=")</f>
        <v>#REF!</v>
      </c>
      <c r="BT29" t="e">
        <f>AND(#REF!,"AAAAAHb/d0c=")</f>
        <v>#REF!</v>
      </c>
      <c r="BU29" t="e">
        <f>AND(#REF!,"AAAAAHb/d0g=")</f>
        <v>#REF!</v>
      </c>
      <c r="BV29" t="e">
        <f>AND(#REF!,"AAAAAHb/d0k=")</f>
        <v>#REF!</v>
      </c>
      <c r="BW29" t="e">
        <f>IF(#REF!,"AAAAAHb/d0o=",0)</f>
        <v>#REF!</v>
      </c>
      <c r="BX29" t="e">
        <f>IF(#REF!,"AAAAAHb/d0s=",0)</f>
        <v>#REF!</v>
      </c>
      <c r="BY29" t="e">
        <f>IF(#REF!,"AAAAAHb/d0w=",0)</f>
        <v>#REF!</v>
      </c>
      <c r="BZ29" t="e">
        <f>IF(#REF!,"AAAAAHb/d00=",0)</f>
        <v>#REF!</v>
      </c>
      <c r="CA29" t="e">
        <f>IF(#REF!,"AAAAAHb/d04=",0)</f>
        <v>#REF!</v>
      </c>
      <c r="CB29" t="e">
        <f>IF(#REF!,"AAAAAHb/d08=",0)</f>
        <v>#REF!</v>
      </c>
      <c r="CC29" t="e">
        <f>IF(#REF!,"AAAAAHb/d1A=",0)</f>
        <v>#REF!</v>
      </c>
      <c r="CD29" t="e">
        <f>IF(#REF!,"AAAAAHb/d1E=",0)</f>
        <v>#REF!</v>
      </c>
      <c r="CE29" t="e">
        <f>IF(#REF!,"AAAAAHb/d1I=",0)</f>
        <v>#REF!</v>
      </c>
      <c r="CF29" t="e">
        <f>IF(#REF!,"AAAAAHb/d1M=",0)</f>
        <v>#REF!</v>
      </c>
      <c r="CG29" t="e">
        <f>IF(#REF!,"AAAAAHb/d1Q=",0)</f>
        <v>#REF!</v>
      </c>
      <c r="CH29" t="e">
        <f>IF(#REF!,"AAAAAHb/d1U=",0)</f>
        <v>#REF!</v>
      </c>
      <c r="CI29" t="e">
        <f>IF(#REF!,"AAAAAHb/d1Y=",0)</f>
        <v>#REF!</v>
      </c>
      <c r="CJ29" t="e">
        <f>IF(#REF!,"AAAAAHb/d1c=",0)</f>
        <v>#REF!</v>
      </c>
      <c r="CK29" t="e">
        <f>IF(#REF!,"AAAAAHb/d1g=",0)</f>
        <v>#REF!</v>
      </c>
      <c r="CL29" t="e">
        <f>IF(#REF!,"AAAAAHb/d1k=",0)</f>
        <v>#REF!</v>
      </c>
      <c r="CM29" t="e">
        <f>IF(#REF!,"AAAAAHb/d1o=",0)</f>
        <v>#REF!</v>
      </c>
      <c r="CN29" t="e">
        <f>IF(#REF!,"AAAAAHb/d1s=",0)</f>
        <v>#REF!</v>
      </c>
      <c r="CO29" t="e">
        <f>IF(#REF!,"AAAAAHb/d1w=",0)</f>
        <v>#REF!</v>
      </c>
      <c r="CP29" t="e">
        <f>IF(#REF!,"AAAAAHb/d10=",0)</f>
        <v>#REF!</v>
      </c>
      <c r="CQ29" t="e">
        <f>IF(#REF!,"AAAAAHb/d14=",0)</f>
        <v>#REF!</v>
      </c>
      <c r="CR29" t="e">
        <f>IF(#REF!,"AAAAAHb/d18=",0)</f>
        <v>#REF!</v>
      </c>
      <c r="CS29" t="e">
        <f>IF(#REF!,"AAAAAHb/d2A=",0)</f>
        <v>#REF!</v>
      </c>
      <c r="CT29" t="e">
        <f>AND(#REF!,"AAAAAHb/d2E=")</f>
        <v>#REF!</v>
      </c>
      <c r="CU29" t="e">
        <f>AND(#REF!,"AAAAAHb/d2I=")</f>
        <v>#REF!</v>
      </c>
      <c r="CV29" t="e">
        <f>AND(#REF!,"AAAAAHb/d2M=")</f>
        <v>#REF!</v>
      </c>
      <c r="CW29" t="e">
        <f>AND(#REF!,"AAAAAHb/d2Q=")</f>
        <v>#REF!</v>
      </c>
      <c r="CX29" t="e">
        <f>AND(#REF!,"AAAAAHb/d2U=")</f>
        <v>#REF!</v>
      </c>
      <c r="CY29" t="e">
        <f>AND(#REF!,"AAAAAHb/d2Y=")</f>
        <v>#REF!</v>
      </c>
      <c r="CZ29" t="e">
        <f>AND(#REF!,"AAAAAHb/d2c=")</f>
        <v>#REF!</v>
      </c>
      <c r="DA29" t="e">
        <f>AND(#REF!,"AAAAAHb/d2g=")</f>
        <v>#REF!</v>
      </c>
      <c r="DB29" t="e">
        <f>AND(#REF!,"AAAAAHb/d2k=")</f>
        <v>#REF!</v>
      </c>
      <c r="DC29" t="e">
        <f>IF(#REF!,"AAAAAHb/d2o=",0)</f>
        <v>#REF!</v>
      </c>
      <c r="DD29" t="e">
        <f>AND(#REF!,"AAAAAHb/d2s=")</f>
        <v>#REF!</v>
      </c>
      <c r="DE29" t="e">
        <f>AND(#REF!,"AAAAAHb/d2w=")</f>
        <v>#REF!</v>
      </c>
      <c r="DF29" t="e">
        <f>AND(#REF!,"AAAAAHb/d20=")</f>
        <v>#REF!</v>
      </c>
      <c r="DG29" t="e">
        <f>AND(#REF!,"AAAAAHb/d24=")</f>
        <v>#REF!</v>
      </c>
      <c r="DH29" t="e">
        <f>AND(#REF!,"AAAAAHb/d28=")</f>
        <v>#REF!</v>
      </c>
      <c r="DI29" t="e">
        <f>AND(#REF!,"AAAAAHb/d3A=")</f>
        <v>#REF!</v>
      </c>
      <c r="DJ29" t="e">
        <f>AND(#REF!,"AAAAAHb/d3E=")</f>
        <v>#REF!</v>
      </c>
      <c r="DK29" t="e">
        <f>AND(#REF!,"AAAAAHb/d3I=")</f>
        <v>#REF!</v>
      </c>
      <c r="DL29" t="e">
        <f>AND(#REF!,"AAAAAHb/d3M=")</f>
        <v>#REF!</v>
      </c>
      <c r="DM29" t="e">
        <f>IF(#REF!,"AAAAAHb/d3Q=",0)</f>
        <v>#REF!</v>
      </c>
      <c r="DN29" t="e">
        <f>AND(#REF!,"AAAAAHb/d3U=")</f>
        <v>#REF!</v>
      </c>
      <c r="DO29" t="e">
        <f>AND(#REF!,"AAAAAHb/d3Y=")</f>
        <v>#REF!</v>
      </c>
      <c r="DP29" t="e">
        <f>AND(#REF!,"AAAAAHb/d3c=")</f>
        <v>#REF!</v>
      </c>
      <c r="DQ29" t="e">
        <f>AND(#REF!,"AAAAAHb/d3g=")</f>
        <v>#REF!</v>
      </c>
      <c r="DR29" t="e">
        <f>AND(#REF!,"AAAAAHb/d3k=")</f>
        <v>#REF!</v>
      </c>
      <c r="DS29" t="e">
        <f>AND(#REF!,"AAAAAHb/d3o=")</f>
        <v>#REF!</v>
      </c>
      <c r="DT29" t="e">
        <f>AND(#REF!,"AAAAAHb/d3s=")</f>
        <v>#REF!</v>
      </c>
      <c r="DU29" t="e">
        <f>AND(#REF!,"AAAAAHb/d3w=")</f>
        <v>#REF!</v>
      </c>
      <c r="DV29" t="e">
        <f>AND(#REF!,"AAAAAHb/d30=")</f>
        <v>#REF!</v>
      </c>
      <c r="DW29" t="e">
        <f>IF(#REF!,"AAAAAHb/d34=",0)</f>
        <v>#REF!</v>
      </c>
      <c r="DX29" t="e">
        <f>AND(#REF!,"AAAAAHb/d38=")</f>
        <v>#REF!</v>
      </c>
      <c r="DY29" t="e">
        <f>AND(#REF!,"AAAAAHb/d4A=")</f>
        <v>#REF!</v>
      </c>
      <c r="DZ29" t="e">
        <f>AND(#REF!,"AAAAAHb/d4E=")</f>
        <v>#REF!</v>
      </c>
      <c r="EA29" t="e">
        <f>AND(#REF!,"AAAAAHb/d4I=")</f>
        <v>#REF!</v>
      </c>
      <c r="EB29" t="e">
        <f>AND(#REF!,"AAAAAHb/d4M=")</f>
        <v>#REF!</v>
      </c>
      <c r="EC29" t="e">
        <f>AND(#REF!,"AAAAAHb/d4Q=")</f>
        <v>#REF!</v>
      </c>
      <c r="ED29" t="e">
        <f>AND(#REF!,"AAAAAHb/d4U=")</f>
        <v>#REF!</v>
      </c>
      <c r="EE29" t="e">
        <f>AND(#REF!,"AAAAAHb/d4Y=")</f>
        <v>#REF!</v>
      </c>
      <c r="EF29" t="e">
        <f>AND(#REF!,"AAAAAHb/d4c=")</f>
        <v>#REF!</v>
      </c>
      <c r="EG29" t="e">
        <f>IF(#REF!,"AAAAAHb/d4g=",0)</f>
        <v>#REF!</v>
      </c>
      <c r="EH29" t="e">
        <f>AND(#REF!,"AAAAAHb/d4k=")</f>
        <v>#REF!</v>
      </c>
      <c r="EI29" t="e">
        <f>AND(#REF!,"AAAAAHb/d4o=")</f>
        <v>#REF!</v>
      </c>
      <c r="EJ29" t="e">
        <f>AND(#REF!,"AAAAAHb/d4s=")</f>
        <v>#REF!</v>
      </c>
      <c r="EK29" t="e">
        <f>AND(#REF!,"AAAAAHb/d4w=")</f>
        <v>#REF!</v>
      </c>
      <c r="EL29" t="e">
        <f>AND(#REF!,"AAAAAHb/d40=")</f>
        <v>#REF!</v>
      </c>
      <c r="EM29" t="e">
        <f>AND(#REF!,"AAAAAHb/d44=")</f>
        <v>#REF!</v>
      </c>
      <c r="EN29" t="e">
        <f>AND(#REF!,"AAAAAHb/d48=")</f>
        <v>#REF!</v>
      </c>
      <c r="EO29" t="e">
        <f>AND(#REF!,"AAAAAHb/d5A=")</f>
        <v>#REF!</v>
      </c>
      <c r="EP29" t="e">
        <f>AND(#REF!,"AAAAAHb/d5E=")</f>
        <v>#REF!</v>
      </c>
      <c r="EQ29" t="e">
        <f>IF(#REF!,"AAAAAHb/d5I=",0)</f>
        <v>#REF!</v>
      </c>
      <c r="ER29" t="e">
        <f>AND(#REF!,"AAAAAHb/d5M=")</f>
        <v>#REF!</v>
      </c>
      <c r="ES29" t="e">
        <f>AND(#REF!,"AAAAAHb/d5Q=")</f>
        <v>#REF!</v>
      </c>
      <c r="ET29" t="e">
        <f>AND(#REF!,"AAAAAHb/d5U=")</f>
        <v>#REF!</v>
      </c>
      <c r="EU29" t="e">
        <f>AND(#REF!,"AAAAAHb/d5Y=")</f>
        <v>#REF!</v>
      </c>
      <c r="EV29" t="e">
        <f>AND(#REF!,"AAAAAHb/d5c=")</f>
        <v>#REF!</v>
      </c>
      <c r="EW29" t="e">
        <f>AND(#REF!,"AAAAAHb/d5g=")</f>
        <v>#REF!</v>
      </c>
      <c r="EX29" t="e">
        <f>AND(#REF!,"AAAAAHb/d5k=")</f>
        <v>#REF!</v>
      </c>
      <c r="EY29" t="e">
        <f>AND(#REF!,"AAAAAHb/d5o=")</f>
        <v>#REF!</v>
      </c>
      <c r="EZ29" t="e">
        <f>AND(#REF!,"AAAAAHb/d5s=")</f>
        <v>#REF!</v>
      </c>
      <c r="FA29" t="e">
        <f>IF(#REF!,"AAAAAHb/d5w=",0)</f>
        <v>#REF!</v>
      </c>
      <c r="FB29" t="e">
        <f>AND(#REF!,"AAAAAHb/d50=")</f>
        <v>#REF!</v>
      </c>
      <c r="FC29" t="e">
        <f>AND(#REF!,"AAAAAHb/d54=")</f>
        <v>#REF!</v>
      </c>
      <c r="FD29" t="e">
        <f>AND(#REF!,"AAAAAHb/d58=")</f>
        <v>#REF!</v>
      </c>
      <c r="FE29" t="e">
        <f>AND(#REF!,"AAAAAHb/d6A=")</f>
        <v>#REF!</v>
      </c>
      <c r="FF29" t="e">
        <f>AND(#REF!,"AAAAAHb/d6E=")</f>
        <v>#REF!</v>
      </c>
      <c r="FG29" t="e">
        <f>AND(#REF!,"AAAAAHb/d6I=")</f>
        <v>#REF!</v>
      </c>
      <c r="FH29" t="e">
        <f>AND(#REF!,"AAAAAHb/d6M=")</f>
        <v>#REF!</v>
      </c>
      <c r="FI29" t="e">
        <f>AND(#REF!,"AAAAAHb/d6Q=")</f>
        <v>#REF!</v>
      </c>
      <c r="FJ29" t="e">
        <f>AND(#REF!,"AAAAAHb/d6U=")</f>
        <v>#REF!</v>
      </c>
      <c r="FK29" t="e">
        <f>IF(#REF!,"AAAAAHb/d6Y=",0)</f>
        <v>#REF!</v>
      </c>
      <c r="FL29" t="e">
        <f>AND(#REF!,"AAAAAHb/d6c=")</f>
        <v>#REF!</v>
      </c>
      <c r="FM29" t="e">
        <f>AND(#REF!,"AAAAAHb/d6g=")</f>
        <v>#REF!</v>
      </c>
      <c r="FN29" t="e">
        <f>AND(#REF!,"AAAAAHb/d6k=")</f>
        <v>#REF!</v>
      </c>
      <c r="FO29" t="e">
        <f>AND(#REF!,"AAAAAHb/d6o=")</f>
        <v>#REF!</v>
      </c>
      <c r="FP29" t="e">
        <f>AND(#REF!,"AAAAAHb/d6s=")</f>
        <v>#REF!</v>
      </c>
      <c r="FQ29" t="e">
        <f>AND(#REF!,"AAAAAHb/d6w=")</f>
        <v>#REF!</v>
      </c>
      <c r="FR29" t="e">
        <f>AND(#REF!,"AAAAAHb/d60=")</f>
        <v>#REF!</v>
      </c>
      <c r="FS29" t="e">
        <f>AND(#REF!,"AAAAAHb/d64=")</f>
        <v>#REF!</v>
      </c>
      <c r="FT29" t="e">
        <f>AND(#REF!,"AAAAAHb/d68=")</f>
        <v>#REF!</v>
      </c>
      <c r="FU29" t="e">
        <f>IF(#REF!,"AAAAAHb/d7A=",0)</f>
        <v>#REF!</v>
      </c>
      <c r="FV29" t="e">
        <f>AND(#REF!,"AAAAAHb/d7E=")</f>
        <v>#REF!</v>
      </c>
      <c r="FW29" t="e">
        <f>AND(#REF!,"AAAAAHb/d7I=")</f>
        <v>#REF!</v>
      </c>
      <c r="FX29" t="e">
        <f>AND(#REF!,"AAAAAHb/d7M=")</f>
        <v>#REF!</v>
      </c>
      <c r="FY29" t="e">
        <f>AND(#REF!,"AAAAAHb/d7Q=")</f>
        <v>#REF!</v>
      </c>
      <c r="FZ29" t="e">
        <f>AND(#REF!,"AAAAAHb/d7U=")</f>
        <v>#REF!</v>
      </c>
      <c r="GA29" t="e">
        <f>AND(#REF!,"AAAAAHb/d7Y=")</f>
        <v>#REF!</v>
      </c>
      <c r="GB29" t="e">
        <f>AND(#REF!,"AAAAAHb/d7c=")</f>
        <v>#REF!</v>
      </c>
      <c r="GC29" t="e">
        <f>AND(#REF!,"AAAAAHb/d7g=")</f>
        <v>#REF!</v>
      </c>
      <c r="GD29" t="e">
        <f>AND(#REF!,"AAAAAHb/d7k=")</f>
        <v>#REF!</v>
      </c>
      <c r="GE29" t="e">
        <f>IF(#REF!,"AAAAAHb/d7o=",0)</f>
        <v>#REF!</v>
      </c>
      <c r="GF29" t="e">
        <f>AND(#REF!,"AAAAAHb/d7s=")</f>
        <v>#REF!</v>
      </c>
      <c r="GG29" t="e">
        <f>AND(#REF!,"AAAAAHb/d7w=")</f>
        <v>#REF!</v>
      </c>
      <c r="GH29" t="e">
        <f>AND(#REF!,"AAAAAHb/d70=")</f>
        <v>#REF!</v>
      </c>
      <c r="GI29" t="e">
        <f>AND(#REF!,"AAAAAHb/d74=")</f>
        <v>#REF!</v>
      </c>
      <c r="GJ29" t="e">
        <f>AND(#REF!,"AAAAAHb/d78=")</f>
        <v>#REF!</v>
      </c>
      <c r="GK29" t="e">
        <f>AND(#REF!,"AAAAAHb/d8A=")</f>
        <v>#REF!</v>
      </c>
      <c r="GL29" t="e">
        <f>AND(#REF!,"AAAAAHb/d8E=")</f>
        <v>#REF!</v>
      </c>
      <c r="GM29" t="e">
        <f>AND(#REF!,"AAAAAHb/d8I=")</f>
        <v>#REF!</v>
      </c>
      <c r="GN29" t="e">
        <f>AND(#REF!,"AAAAAHb/d8M=")</f>
        <v>#REF!</v>
      </c>
      <c r="GO29" t="e">
        <f>IF(#REF!,"AAAAAHb/d8Q=",0)</f>
        <v>#REF!</v>
      </c>
      <c r="GP29" t="e">
        <f>AND(#REF!,"AAAAAHb/d8U=")</f>
        <v>#REF!</v>
      </c>
      <c r="GQ29" t="e">
        <f>AND(#REF!,"AAAAAHb/d8Y=")</f>
        <v>#REF!</v>
      </c>
      <c r="GR29" t="e">
        <f>AND(#REF!,"AAAAAHb/d8c=")</f>
        <v>#REF!</v>
      </c>
      <c r="GS29" t="e">
        <f>AND(#REF!,"AAAAAHb/d8g=")</f>
        <v>#REF!</v>
      </c>
      <c r="GT29" t="e">
        <f>AND(#REF!,"AAAAAHb/d8k=")</f>
        <v>#REF!</v>
      </c>
      <c r="GU29" t="e">
        <f>AND(#REF!,"AAAAAHb/d8o=")</f>
        <v>#REF!</v>
      </c>
      <c r="GV29" t="e">
        <f>AND(#REF!,"AAAAAHb/d8s=")</f>
        <v>#REF!</v>
      </c>
      <c r="GW29" t="e">
        <f>AND(#REF!,"AAAAAHb/d8w=")</f>
        <v>#REF!</v>
      </c>
      <c r="GX29" t="e">
        <f>AND(#REF!,"AAAAAHb/d80=")</f>
        <v>#REF!</v>
      </c>
      <c r="GY29" t="e">
        <f>IF(#REF!,"AAAAAHb/d84=",0)</f>
        <v>#REF!</v>
      </c>
      <c r="GZ29" t="e">
        <f>AND(#REF!,"AAAAAHb/d88=")</f>
        <v>#REF!</v>
      </c>
      <c r="HA29" t="e">
        <f>AND(#REF!,"AAAAAHb/d9A=")</f>
        <v>#REF!</v>
      </c>
      <c r="HB29" t="e">
        <f>AND(#REF!,"AAAAAHb/d9E=")</f>
        <v>#REF!</v>
      </c>
      <c r="HC29" t="e">
        <f>AND(#REF!,"AAAAAHb/d9I=")</f>
        <v>#REF!</v>
      </c>
      <c r="HD29" t="e">
        <f>AND(#REF!,"AAAAAHb/d9M=")</f>
        <v>#REF!</v>
      </c>
      <c r="HE29" t="e">
        <f>AND(#REF!,"AAAAAHb/d9Q=")</f>
        <v>#REF!</v>
      </c>
      <c r="HF29" t="e">
        <f>AND(#REF!,"AAAAAHb/d9U=")</f>
        <v>#REF!</v>
      </c>
      <c r="HG29" t="e">
        <f>AND(#REF!,"AAAAAHb/d9Y=")</f>
        <v>#REF!</v>
      </c>
      <c r="HH29" t="e">
        <f>AND(#REF!,"AAAAAHb/d9c=")</f>
        <v>#REF!</v>
      </c>
      <c r="HI29" t="e">
        <f>IF(#REF!,"AAAAAHb/d9g=",0)</f>
        <v>#REF!</v>
      </c>
      <c r="HJ29" t="e">
        <f>AND(#REF!,"AAAAAHb/d9k=")</f>
        <v>#REF!</v>
      </c>
      <c r="HK29" t="e">
        <f>AND(#REF!,"AAAAAHb/d9o=")</f>
        <v>#REF!</v>
      </c>
      <c r="HL29" t="e">
        <f>AND(#REF!,"AAAAAHb/d9s=")</f>
        <v>#REF!</v>
      </c>
      <c r="HM29" t="e">
        <f>AND(#REF!,"AAAAAHb/d9w=")</f>
        <v>#REF!</v>
      </c>
      <c r="HN29" t="e">
        <f>AND(#REF!,"AAAAAHb/d90=")</f>
        <v>#REF!</v>
      </c>
      <c r="HO29" t="e">
        <f>AND(#REF!,"AAAAAHb/d94=")</f>
        <v>#REF!</v>
      </c>
      <c r="HP29" t="e">
        <f>AND(#REF!,"AAAAAHb/d98=")</f>
        <v>#REF!</v>
      </c>
      <c r="HQ29" t="e">
        <f>AND(#REF!,"AAAAAHb/d+A=")</f>
        <v>#REF!</v>
      </c>
      <c r="HR29" t="e">
        <f>AND(#REF!,"AAAAAHb/d+E=")</f>
        <v>#REF!</v>
      </c>
      <c r="HS29" t="e">
        <f>IF(#REF!,"AAAAAHb/d+I=",0)</f>
        <v>#REF!</v>
      </c>
      <c r="HT29" t="e">
        <f>AND(#REF!,"AAAAAHb/d+M=")</f>
        <v>#REF!</v>
      </c>
      <c r="HU29" t="e">
        <f>AND(#REF!,"AAAAAHb/d+Q=")</f>
        <v>#REF!</v>
      </c>
      <c r="HV29" t="e">
        <f>AND(#REF!,"AAAAAHb/d+U=")</f>
        <v>#REF!</v>
      </c>
      <c r="HW29" t="e">
        <f>AND(#REF!,"AAAAAHb/d+Y=")</f>
        <v>#REF!</v>
      </c>
      <c r="HX29" t="e">
        <f>AND(#REF!,"AAAAAHb/d+c=")</f>
        <v>#REF!</v>
      </c>
      <c r="HY29" t="e">
        <f>AND(#REF!,"AAAAAHb/d+g=")</f>
        <v>#REF!</v>
      </c>
      <c r="HZ29" t="e">
        <f>AND(#REF!,"AAAAAHb/d+k=")</f>
        <v>#REF!</v>
      </c>
      <c r="IA29" t="e">
        <f>AND(#REF!,"AAAAAHb/d+o=")</f>
        <v>#REF!</v>
      </c>
      <c r="IB29" t="e">
        <f>AND(#REF!,"AAAAAHb/d+s=")</f>
        <v>#REF!</v>
      </c>
      <c r="IC29" t="e">
        <f>IF(#REF!,"AAAAAHb/d+w=",0)</f>
        <v>#REF!</v>
      </c>
      <c r="ID29" t="e">
        <f>AND(#REF!,"AAAAAHb/d+0=")</f>
        <v>#REF!</v>
      </c>
      <c r="IE29" t="e">
        <f>AND(#REF!,"AAAAAHb/d+4=")</f>
        <v>#REF!</v>
      </c>
      <c r="IF29" t="e">
        <f>AND(#REF!,"AAAAAHb/d+8=")</f>
        <v>#REF!</v>
      </c>
      <c r="IG29" t="e">
        <f>AND(#REF!,"AAAAAHb/d/A=")</f>
        <v>#REF!</v>
      </c>
      <c r="IH29" t="e">
        <f>AND(#REF!,"AAAAAHb/d/E=")</f>
        <v>#REF!</v>
      </c>
      <c r="II29" t="e">
        <f>AND(#REF!,"AAAAAHb/d/I=")</f>
        <v>#REF!</v>
      </c>
      <c r="IJ29" t="e">
        <f>AND(#REF!,"AAAAAHb/d/M=")</f>
        <v>#REF!</v>
      </c>
      <c r="IK29" t="e">
        <f>AND(#REF!,"AAAAAHb/d/Q=")</f>
        <v>#REF!</v>
      </c>
      <c r="IL29" t="e">
        <f>AND(#REF!,"AAAAAHb/d/U=")</f>
        <v>#REF!</v>
      </c>
      <c r="IM29" t="e">
        <f>IF(#REF!,"AAAAAHb/d/Y=",0)</f>
        <v>#REF!</v>
      </c>
      <c r="IN29" t="e">
        <f>AND(#REF!,"AAAAAHb/d/c=")</f>
        <v>#REF!</v>
      </c>
      <c r="IO29" t="e">
        <f>AND(#REF!,"AAAAAHb/d/g=")</f>
        <v>#REF!</v>
      </c>
      <c r="IP29" t="e">
        <f>AND(#REF!,"AAAAAHb/d/k=")</f>
        <v>#REF!</v>
      </c>
      <c r="IQ29" t="e">
        <f>AND(#REF!,"AAAAAHb/d/o=")</f>
        <v>#REF!</v>
      </c>
      <c r="IR29" t="e">
        <f>AND(#REF!,"AAAAAHb/d/s=")</f>
        <v>#REF!</v>
      </c>
      <c r="IS29" t="e">
        <f>AND(#REF!,"AAAAAHb/d/w=")</f>
        <v>#REF!</v>
      </c>
      <c r="IT29" t="e">
        <f>AND(#REF!,"AAAAAHb/d/0=")</f>
        <v>#REF!</v>
      </c>
      <c r="IU29" t="e">
        <f>AND(#REF!,"AAAAAHb/d/4=")</f>
        <v>#REF!</v>
      </c>
      <c r="IV29" t="e">
        <f>AND(#REF!,"AAAAAHb/d/8=")</f>
        <v>#REF!</v>
      </c>
    </row>
    <row r="30" spans="1:256" ht="12.75">
      <c r="A30" t="e">
        <f>IF(#REF!,"AAAAAHt/3gA=",0)</f>
        <v>#REF!</v>
      </c>
      <c r="B30" t="e">
        <f>AND(#REF!,"AAAAAHt/3gE=")</f>
        <v>#REF!</v>
      </c>
      <c r="C30" t="e">
        <f>AND(#REF!,"AAAAAHt/3gI=")</f>
        <v>#REF!</v>
      </c>
      <c r="D30" t="e">
        <f>AND(#REF!,"AAAAAHt/3gM=")</f>
        <v>#REF!</v>
      </c>
      <c r="E30" t="e">
        <f>AND(#REF!,"AAAAAHt/3gQ=")</f>
        <v>#REF!</v>
      </c>
      <c r="F30" t="e">
        <f>AND(#REF!,"AAAAAHt/3gU=")</f>
        <v>#REF!</v>
      </c>
      <c r="G30" t="e">
        <f>AND(#REF!,"AAAAAHt/3gY=")</f>
        <v>#REF!</v>
      </c>
      <c r="H30" t="e">
        <f>AND(#REF!,"AAAAAHt/3gc=")</f>
        <v>#REF!</v>
      </c>
      <c r="I30" t="e">
        <f>AND(#REF!,"AAAAAHt/3gg=")</f>
        <v>#REF!</v>
      </c>
      <c r="J30" t="e">
        <f>AND(#REF!,"AAAAAHt/3gk=")</f>
        <v>#REF!</v>
      </c>
      <c r="K30" t="e">
        <f>IF(#REF!,"AAAAAHt/3go=",0)</f>
        <v>#REF!</v>
      </c>
      <c r="L30" t="e">
        <f>AND(#REF!,"AAAAAHt/3gs=")</f>
        <v>#REF!</v>
      </c>
      <c r="M30" t="e">
        <f>AND(#REF!,"AAAAAHt/3gw=")</f>
        <v>#REF!</v>
      </c>
      <c r="N30" t="e">
        <f>AND(#REF!,"AAAAAHt/3g0=")</f>
        <v>#REF!</v>
      </c>
      <c r="O30" t="e">
        <f>AND(#REF!,"AAAAAHt/3g4=")</f>
        <v>#REF!</v>
      </c>
      <c r="P30" t="e">
        <f>AND(#REF!,"AAAAAHt/3g8=")</f>
        <v>#REF!</v>
      </c>
      <c r="Q30" t="e">
        <f>AND(#REF!,"AAAAAHt/3hA=")</f>
        <v>#REF!</v>
      </c>
      <c r="R30" t="e">
        <f>AND(#REF!,"AAAAAHt/3hE=")</f>
        <v>#REF!</v>
      </c>
      <c r="S30" t="e">
        <f>AND(#REF!,"AAAAAHt/3hI=")</f>
        <v>#REF!</v>
      </c>
      <c r="T30" t="e">
        <f>AND(#REF!,"AAAAAHt/3hM=")</f>
        <v>#REF!</v>
      </c>
      <c r="U30" t="e">
        <f>IF(#REF!,"AAAAAHt/3hQ=",0)</f>
        <v>#REF!</v>
      </c>
      <c r="V30" t="e">
        <f>IF(#REF!,"AAAAAHt/3hU=",0)</f>
        <v>#REF!</v>
      </c>
      <c r="W30" t="e">
        <f>IF(#REF!,"AAAAAHt/3hY=",0)</f>
        <v>#REF!</v>
      </c>
      <c r="X30" t="e">
        <f>IF(#REF!,"AAAAAHt/3hc=",0)</f>
        <v>#REF!</v>
      </c>
      <c r="Y30" t="e">
        <f>IF(#REF!,"AAAAAHt/3hg=",0)</f>
        <v>#REF!</v>
      </c>
      <c r="Z30" t="e">
        <f>IF(#REF!,"AAAAAHt/3hk=",0)</f>
        <v>#REF!</v>
      </c>
      <c r="AA30" t="e">
        <f>IF(#REF!,"AAAAAHt/3ho=",0)</f>
        <v>#REF!</v>
      </c>
      <c r="AB30" t="e">
        <f>IF(#REF!,"AAAAAHt/3hs=",0)</f>
        <v>#REF!</v>
      </c>
      <c r="AC30" t="e">
        <f>IF(#REF!,"AAAAAHt/3hw=",0)</f>
        <v>#REF!</v>
      </c>
      <c r="AD30" t="e">
        <f>IF(#REF!,"AAAAAHt/3h0=",0)</f>
        <v>#REF!</v>
      </c>
      <c r="AE30" t="e">
        <f>IF(#REF!,"AAAAAHt/3h4=",0)</f>
        <v>#REF!</v>
      </c>
      <c r="AF30" t="e">
        <f>IF(#REF!,"AAAAAHt/3h8=",0)</f>
        <v>#REF!</v>
      </c>
      <c r="AG30" t="e">
        <f>IF(#REF!,"AAAAAHt/3iA=",0)</f>
        <v>#REF!</v>
      </c>
      <c r="AH30" t="e">
        <f>IF(#REF!,"AAAAAHt/3iE=",0)</f>
        <v>#REF!</v>
      </c>
      <c r="AI30" t="e">
        <f>IF(#REF!,"AAAAAHt/3iI=",0)</f>
        <v>#REF!</v>
      </c>
      <c r="AJ30" t="e">
        <f>IF(#REF!,"AAAAAHt/3iM=",0)</f>
        <v>#REF!</v>
      </c>
      <c r="AK30" t="e">
        <f>IF(#REF!,"AAAAAHt/3iQ=",0)</f>
        <v>#REF!</v>
      </c>
      <c r="AL30" t="e">
        <f>IF(#REF!,"AAAAAHt/3iU=",0)</f>
        <v>#REF!</v>
      </c>
      <c r="AM30" t="e">
        <f>IF(#REF!,"AAAAAHt/3iY=",0)</f>
        <v>#REF!</v>
      </c>
      <c r="AN30" t="e">
        <f>AND(#REF!,"AAAAAHt/3ic=")</f>
        <v>#REF!</v>
      </c>
      <c r="AO30" t="e">
        <f>AND(#REF!,"AAAAAHt/3ig=")</f>
        <v>#REF!</v>
      </c>
      <c r="AP30" t="e">
        <f>AND(#REF!,"AAAAAHt/3ik=")</f>
        <v>#REF!</v>
      </c>
      <c r="AQ30" t="e">
        <f>AND(#REF!,"AAAAAHt/3io=")</f>
        <v>#REF!</v>
      </c>
      <c r="AR30" t="e">
        <f>AND(#REF!,"AAAAAHt/3is=")</f>
        <v>#REF!</v>
      </c>
      <c r="AS30" t="e">
        <f>AND(#REF!,"AAAAAHt/3iw=")</f>
        <v>#REF!</v>
      </c>
      <c r="AT30" t="e">
        <f>AND(#REF!,"AAAAAHt/3i0=")</f>
        <v>#REF!</v>
      </c>
      <c r="AU30" t="e">
        <f>AND(#REF!,"AAAAAHt/3i4=")</f>
        <v>#REF!</v>
      </c>
      <c r="AV30" t="e">
        <f>AND(#REF!,"AAAAAHt/3i8=")</f>
        <v>#REF!</v>
      </c>
      <c r="AW30" t="e">
        <f>IF(#REF!,"AAAAAHt/3jA=",0)</f>
        <v>#REF!</v>
      </c>
      <c r="AX30" t="e">
        <f>AND(#REF!,"AAAAAHt/3jE=")</f>
        <v>#REF!</v>
      </c>
      <c r="AY30" t="e">
        <f>AND(#REF!,"AAAAAHt/3jI=")</f>
        <v>#REF!</v>
      </c>
      <c r="AZ30" t="e">
        <f>AND(#REF!,"AAAAAHt/3jM=")</f>
        <v>#REF!</v>
      </c>
      <c r="BA30" t="e">
        <f>AND(#REF!,"AAAAAHt/3jQ=")</f>
        <v>#REF!</v>
      </c>
      <c r="BB30" t="e">
        <f>AND(#REF!,"AAAAAHt/3jU=")</f>
        <v>#REF!</v>
      </c>
      <c r="BC30" t="e">
        <f>AND(#REF!,"AAAAAHt/3jY=")</f>
        <v>#REF!</v>
      </c>
      <c r="BD30" t="e">
        <f>AND(#REF!,"AAAAAHt/3jc=")</f>
        <v>#REF!</v>
      </c>
      <c r="BE30" t="e">
        <f>AND(#REF!,"AAAAAHt/3jg=")</f>
        <v>#REF!</v>
      </c>
      <c r="BF30" t="e">
        <f>AND(#REF!,"AAAAAHt/3jk=")</f>
        <v>#REF!</v>
      </c>
      <c r="BG30" t="e">
        <f>IF(#REF!,"AAAAAHt/3jo=",0)</f>
        <v>#REF!</v>
      </c>
      <c r="BH30" t="e">
        <f>AND(#REF!,"AAAAAHt/3js=")</f>
        <v>#REF!</v>
      </c>
      <c r="BI30" t="e">
        <f>AND(#REF!,"AAAAAHt/3jw=")</f>
        <v>#REF!</v>
      </c>
      <c r="BJ30" t="e">
        <f>AND(#REF!,"AAAAAHt/3j0=")</f>
        <v>#REF!</v>
      </c>
      <c r="BK30" t="e">
        <f>AND(#REF!,"AAAAAHt/3j4=")</f>
        <v>#REF!</v>
      </c>
      <c r="BL30" t="e">
        <f>AND(#REF!,"AAAAAHt/3j8=")</f>
        <v>#REF!</v>
      </c>
      <c r="BM30" t="e">
        <f>AND(#REF!,"AAAAAHt/3kA=")</f>
        <v>#REF!</v>
      </c>
      <c r="BN30" t="e">
        <f>AND(#REF!,"AAAAAHt/3kE=")</f>
        <v>#REF!</v>
      </c>
      <c r="BO30" t="e">
        <f>AND(#REF!,"AAAAAHt/3kI=")</f>
        <v>#REF!</v>
      </c>
      <c r="BP30" t="e">
        <f>AND(#REF!,"AAAAAHt/3kM=")</f>
        <v>#REF!</v>
      </c>
      <c r="BQ30" t="e">
        <f>IF(#REF!,"AAAAAHt/3kQ=",0)</f>
        <v>#REF!</v>
      </c>
      <c r="BR30" t="e">
        <f>AND(#REF!,"AAAAAHt/3kU=")</f>
        <v>#REF!</v>
      </c>
      <c r="BS30" t="e">
        <f>AND(#REF!,"AAAAAHt/3kY=")</f>
        <v>#REF!</v>
      </c>
      <c r="BT30" t="e">
        <f>AND(#REF!,"AAAAAHt/3kc=")</f>
        <v>#REF!</v>
      </c>
      <c r="BU30" t="e">
        <f>AND(#REF!,"AAAAAHt/3kg=")</f>
        <v>#REF!</v>
      </c>
      <c r="BV30" t="e">
        <f>AND(#REF!,"AAAAAHt/3kk=")</f>
        <v>#REF!</v>
      </c>
      <c r="BW30" t="e">
        <f>AND(#REF!,"AAAAAHt/3ko=")</f>
        <v>#REF!</v>
      </c>
      <c r="BX30" t="e">
        <f>AND(#REF!,"AAAAAHt/3ks=")</f>
        <v>#REF!</v>
      </c>
      <c r="BY30" t="e">
        <f>AND(#REF!,"AAAAAHt/3kw=")</f>
        <v>#REF!</v>
      </c>
      <c r="BZ30" t="e">
        <f>AND(#REF!,"AAAAAHt/3k0=")</f>
        <v>#REF!</v>
      </c>
      <c r="CA30" t="e">
        <f>IF(#REF!,"AAAAAHt/3k4=",0)</f>
        <v>#REF!</v>
      </c>
      <c r="CB30" t="e">
        <f>AND(#REF!,"AAAAAHt/3k8=")</f>
        <v>#REF!</v>
      </c>
      <c r="CC30" t="e">
        <f>AND(#REF!,"AAAAAHt/3lA=")</f>
        <v>#REF!</v>
      </c>
      <c r="CD30" t="e">
        <f>AND(#REF!,"AAAAAHt/3lE=")</f>
        <v>#REF!</v>
      </c>
      <c r="CE30" t="e">
        <f>AND(#REF!,"AAAAAHt/3lI=")</f>
        <v>#REF!</v>
      </c>
      <c r="CF30" t="e">
        <f>AND(#REF!,"AAAAAHt/3lM=")</f>
        <v>#REF!</v>
      </c>
      <c r="CG30" t="e">
        <f>AND(#REF!,"AAAAAHt/3lQ=")</f>
        <v>#REF!</v>
      </c>
      <c r="CH30" t="e">
        <f>AND(#REF!,"AAAAAHt/3lU=")</f>
        <v>#REF!</v>
      </c>
      <c r="CI30" t="e">
        <f>AND(#REF!,"AAAAAHt/3lY=")</f>
        <v>#REF!</v>
      </c>
      <c r="CJ30" t="e">
        <f>AND(#REF!,"AAAAAHt/3lc=")</f>
        <v>#REF!</v>
      </c>
      <c r="CK30" t="e">
        <f>IF(#REF!,"AAAAAHt/3lg=",0)</f>
        <v>#REF!</v>
      </c>
      <c r="CL30" t="e">
        <f>AND(#REF!,"AAAAAHt/3lk=")</f>
        <v>#REF!</v>
      </c>
      <c r="CM30" t="e">
        <f>AND(#REF!,"AAAAAHt/3lo=")</f>
        <v>#REF!</v>
      </c>
      <c r="CN30" t="e">
        <f>AND(#REF!,"AAAAAHt/3ls=")</f>
        <v>#REF!</v>
      </c>
      <c r="CO30" t="e">
        <f>AND(#REF!,"AAAAAHt/3lw=")</f>
        <v>#REF!</v>
      </c>
      <c r="CP30" t="e">
        <f>AND(#REF!,"AAAAAHt/3l0=")</f>
        <v>#REF!</v>
      </c>
      <c r="CQ30" t="e">
        <f>AND(#REF!,"AAAAAHt/3l4=")</f>
        <v>#REF!</v>
      </c>
      <c r="CR30" t="e">
        <f>AND(#REF!,"AAAAAHt/3l8=")</f>
        <v>#REF!</v>
      </c>
      <c r="CS30" t="e">
        <f>AND(#REF!,"AAAAAHt/3mA=")</f>
        <v>#REF!</v>
      </c>
      <c r="CT30" t="e">
        <f>AND(#REF!,"AAAAAHt/3mE=")</f>
        <v>#REF!</v>
      </c>
      <c r="CU30" t="e">
        <f>IF(#REF!,"AAAAAHt/3mI=",0)</f>
        <v>#REF!</v>
      </c>
      <c r="CV30" t="e">
        <f>AND(#REF!,"AAAAAHt/3mM=")</f>
        <v>#REF!</v>
      </c>
      <c r="CW30" t="e">
        <f>AND(#REF!,"AAAAAHt/3mQ=")</f>
        <v>#REF!</v>
      </c>
      <c r="CX30" t="e">
        <f>AND(#REF!,"AAAAAHt/3mU=")</f>
        <v>#REF!</v>
      </c>
      <c r="CY30" t="e">
        <f>AND(#REF!,"AAAAAHt/3mY=")</f>
        <v>#REF!</v>
      </c>
      <c r="CZ30" t="e">
        <f>AND(#REF!,"AAAAAHt/3mc=")</f>
        <v>#REF!</v>
      </c>
      <c r="DA30" t="e">
        <f>AND(#REF!,"AAAAAHt/3mg=")</f>
        <v>#REF!</v>
      </c>
      <c r="DB30" t="e">
        <f>AND(#REF!,"AAAAAHt/3mk=")</f>
        <v>#REF!</v>
      </c>
      <c r="DC30" t="e">
        <f>AND(#REF!,"AAAAAHt/3mo=")</f>
        <v>#REF!</v>
      </c>
      <c r="DD30" t="e">
        <f>AND(#REF!,"AAAAAHt/3ms=")</f>
        <v>#REF!</v>
      </c>
      <c r="DE30" t="e">
        <f>IF(#REF!,"AAAAAHt/3mw=",0)</f>
        <v>#REF!</v>
      </c>
      <c r="DF30" t="e">
        <f>AND(#REF!,"AAAAAHt/3m0=")</f>
        <v>#REF!</v>
      </c>
      <c r="DG30" t="e">
        <f>AND(#REF!,"AAAAAHt/3m4=")</f>
        <v>#REF!</v>
      </c>
      <c r="DH30" t="e">
        <f>AND(#REF!,"AAAAAHt/3m8=")</f>
        <v>#REF!</v>
      </c>
      <c r="DI30" t="e">
        <f>AND(#REF!,"AAAAAHt/3nA=")</f>
        <v>#REF!</v>
      </c>
      <c r="DJ30" t="e">
        <f>AND(#REF!,"AAAAAHt/3nE=")</f>
        <v>#REF!</v>
      </c>
      <c r="DK30" t="e">
        <f>AND(#REF!,"AAAAAHt/3nI=")</f>
        <v>#REF!</v>
      </c>
      <c r="DL30" t="e">
        <f>AND(#REF!,"AAAAAHt/3nM=")</f>
        <v>#REF!</v>
      </c>
      <c r="DM30" t="e">
        <f>AND(#REF!,"AAAAAHt/3nQ=")</f>
        <v>#REF!</v>
      </c>
      <c r="DN30" t="e">
        <f>AND(#REF!,"AAAAAHt/3nU=")</f>
        <v>#REF!</v>
      </c>
      <c r="DO30" t="e">
        <f>IF(#REF!,"AAAAAHt/3nY=",0)</f>
        <v>#REF!</v>
      </c>
      <c r="DP30" t="e">
        <f>AND(#REF!,"AAAAAHt/3nc=")</f>
        <v>#REF!</v>
      </c>
      <c r="DQ30" t="e">
        <f>AND(#REF!,"AAAAAHt/3ng=")</f>
        <v>#REF!</v>
      </c>
      <c r="DR30" t="e">
        <f>AND(#REF!,"AAAAAHt/3nk=")</f>
        <v>#REF!</v>
      </c>
      <c r="DS30" t="e">
        <f>AND(#REF!,"AAAAAHt/3no=")</f>
        <v>#REF!</v>
      </c>
      <c r="DT30" t="e">
        <f>AND(#REF!,"AAAAAHt/3ns=")</f>
        <v>#REF!</v>
      </c>
      <c r="DU30" t="e">
        <f>AND(#REF!,"AAAAAHt/3nw=")</f>
        <v>#REF!</v>
      </c>
      <c r="DV30" t="e">
        <f>AND(#REF!,"AAAAAHt/3n0=")</f>
        <v>#REF!</v>
      </c>
      <c r="DW30" t="e">
        <f>AND(#REF!,"AAAAAHt/3n4=")</f>
        <v>#REF!</v>
      </c>
      <c r="DX30" t="e">
        <f>AND(#REF!,"AAAAAHt/3n8=")</f>
        <v>#REF!</v>
      </c>
      <c r="DY30" t="e">
        <f>IF(#REF!,"AAAAAHt/3oA=",0)</f>
        <v>#REF!</v>
      </c>
      <c r="DZ30" t="e">
        <f>AND(#REF!,"AAAAAHt/3oE=")</f>
        <v>#REF!</v>
      </c>
      <c r="EA30" t="e">
        <f>AND(#REF!,"AAAAAHt/3oI=")</f>
        <v>#REF!</v>
      </c>
      <c r="EB30" t="e">
        <f>AND(#REF!,"AAAAAHt/3oM=")</f>
        <v>#REF!</v>
      </c>
      <c r="EC30" t="e">
        <f>AND(#REF!,"AAAAAHt/3oQ=")</f>
        <v>#REF!</v>
      </c>
      <c r="ED30" t="e">
        <f>AND(#REF!,"AAAAAHt/3oU=")</f>
        <v>#REF!</v>
      </c>
      <c r="EE30" t="e">
        <f>AND(#REF!,"AAAAAHt/3oY=")</f>
        <v>#REF!</v>
      </c>
      <c r="EF30" t="e">
        <f>AND(#REF!,"AAAAAHt/3oc=")</f>
        <v>#REF!</v>
      </c>
      <c r="EG30" t="e">
        <f>AND(#REF!,"AAAAAHt/3og=")</f>
        <v>#REF!</v>
      </c>
      <c r="EH30" t="e">
        <f>AND(#REF!,"AAAAAHt/3ok=")</f>
        <v>#REF!</v>
      </c>
      <c r="EI30" t="e">
        <f>IF(#REF!,"AAAAAHt/3oo=",0)</f>
        <v>#REF!</v>
      </c>
      <c r="EJ30" t="e">
        <f>AND(#REF!,"AAAAAHt/3os=")</f>
        <v>#REF!</v>
      </c>
      <c r="EK30" t="e">
        <f>AND(#REF!,"AAAAAHt/3ow=")</f>
        <v>#REF!</v>
      </c>
      <c r="EL30" t="e">
        <f>AND(#REF!,"AAAAAHt/3o0=")</f>
        <v>#REF!</v>
      </c>
      <c r="EM30" t="e">
        <f>AND(#REF!,"AAAAAHt/3o4=")</f>
        <v>#REF!</v>
      </c>
      <c r="EN30" t="e">
        <f>AND(#REF!,"AAAAAHt/3o8=")</f>
        <v>#REF!</v>
      </c>
      <c r="EO30" t="e">
        <f>AND(#REF!,"AAAAAHt/3pA=")</f>
        <v>#REF!</v>
      </c>
      <c r="EP30" t="e">
        <f>AND(#REF!,"AAAAAHt/3pE=")</f>
        <v>#REF!</v>
      </c>
      <c r="EQ30" t="e">
        <f>AND(#REF!,"AAAAAHt/3pI=")</f>
        <v>#REF!</v>
      </c>
      <c r="ER30" t="e">
        <f>AND(#REF!,"AAAAAHt/3pM=")</f>
        <v>#REF!</v>
      </c>
      <c r="ES30" t="e">
        <f>IF(#REF!,"AAAAAHt/3pQ=",0)</f>
        <v>#REF!</v>
      </c>
      <c r="ET30" t="e">
        <f>AND(#REF!,"AAAAAHt/3pU=")</f>
        <v>#REF!</v>
      </c>
      <c r="EU30" t="e">
        <f>AND(#REF!,"AAAAAHt/3pY=")</f>
        <v>#REF!</v>
      </c>
      <c r="EV30" t="e">
        <f>AND(#REF!,"AAAAAHt/3pc=")</f>
        <v>#REF!</v>
      </c>
      <c r="EW30" t="e">
        <f>AND(#REF!,"AAAAAHt/3pg=")</f>
        <v>#REF!</v>
      </c>
      <c r="EX30" t="e">
        <f>AND(#REF!,"AAAAAHt/3pk=")</f>
        <v>#REF!</v>
      </c>
      <c r="EY30" t="e">
        <f>AND(#REF!,"AAAAAHt/3po=")</f>
        <v>#REF!</v>
      </c>
      <c r="EZ30" t="e">
        <f>AND(#REF!,"AAAAAHt/3ps=")</f>
        <v>#REF!</v>
      </c>
      <c r="FA30" t="e">
        <f>AND(#REF!,"AAAAAHt/3pw=")</f>
        <v>#REF!</v>
      </c>
      <c r="FB30" t="e">
        <f>AND(#REF!,"AAAAAHt/3p0=")</f>
        <v>#REF!</v>
      </c>
      <c r="FC30" t="e">
        <f>IF(#REF!,"AAAAAHt/3p4=",0)</f>
        <v>#REF!</v>
      </c>
      <c r="FD30" t="e">
        <f>AND(#REF!,"AAAAAHt/3p8=")</f>
        <v>#REF!</v>
      </c>
      <c r="FE30" t="e">
        <f>AND(#REF!,"AAAAAHt/3qA=")</f>
        <v>#REF!</v>
      </c>
      <c r="FF30" t="e">
        <f>AND(#REF!,"AAAAAHt/3qE=")</f>
        <v>#REF!</v>
      </c>
      <c r="FG30" t="e">
        <f>AND(#REF!,"AAAAAHt/3qI=")</f>
        <v>#REF!</v>
      </c>
      <c r="FH30" t="e">
        <f>AND(#REF!,"AAAAAHt/3qM=")</f>
        <v>#REF!</v>
      </c>
      <c r="FI30" t="e">
        <f>AND(#REF!,"AAAAAHt/3qQ=")</f>
        <v>#REF!</v>
      </c>
      <c r="FJ30" t="e">
        <f>AND(#REF!,"AAAAAHt/3qU=")</f>
        <v>#REF!</v>
      </c>
      <c r="FK30" t="e">
        <f>AND(#REF!,"AAAAAHt/3qY=")</f>
        <v>#REF!</v>
      </c>
      <c r="FL30" t="e">
        <f>AND(#REF!,"AAAAAHt/3qc=")</f>
        <v>#REF!</v>
      </c>
      <c r="FM30" t="e">
        <f>IF(#REF!,"AAAAAHt/3qg=",0)</f>
        <v>#REF!</v>
      </c>
      <c r="FN30" t="e">
        <f>AND(#REF!,"AAAAAHt/3qk=")</f>
        <v>#REF!</v>
      </c>
      <c r="FO30" t="e">
        <f>AND(#REF!,"AAAAAHt/3qo=")</f>
        <v>#REF!</v>
      </c>
      <c r="FP30" t="e">
        <f>AND(#REF!,"AAAAAHt/3qs=")</f>
        <v>#REF!</v>
      </c>
      <c r="FQ30" t="e">
        <f>AND(#REF!,"AAAAAHt/3qw=")</f>
        <v>#REF!</v>
      </c>
      <c r="FR30" t="e">
        <f>AND(#REF!,"AAAAAHt/3q0=")</f>
        <v>#REF!</v>
      </c>
      <c r="FS30" t="e">
        <f>AND(#REF!,"AAAAAHt/3q4=")</f>
        <v>#REF!</v>
      </c>
      <c r="FT30" t="e">
        <f>AND(#REF!,"AAAAAHt/3q8=")</f>
        <v>#REF!</v>
      </c>
      <c r="FU30" t="e">
        <f>AND(#REF!,"AAAAAHt/3rA=")</f>
        <v>#REF!</v>
      </c>
      <c r="FV30" t="e">
        <f>AND(#REF!,"AAAAAHt/3rE=")</f>
        <v>#REF!</v>
      </c>
      <c r="FW30" t="e">
        <f>IF(#REF!,"AAAAAHt/3rI=",0)</f>
        <v>#REF!</v>
      </c>
      <c r="FX30" t="e">
        <f>AND(#REF!,"AAAAAHt/3rM=")</f>
        <v>#REF!</v>
      </c>
      <c r="FY30" t="e">
        <f>AND(#REF!,"AAAAAHt/3rQ=")</f>
        <v>#REF!</v>
      </c>
      <c r="FZ30" t="e">
        <f>AND(#REF!,"AAAAAHt/3rU=")</f>
        <v>#REF!</v>
      </c>
      <c r="GA30" t="e">
        <f>AND(#REF!,"AAAAAHt/3rY=")</f>
        <v>#REF!</v>
      </c>
      <c r="GB30" t="e">
        <f>AND(#REF!,"AAAAAHt/3rc=")</f>
        <v>#REF!</v>
      </c>
      <c r="GC30" t="e">
        <f>AND(#REF!,"AAAAAHt/3rg=")</f>
        <v>#REF!</v>
      </c>
      <c r="GD30" t="e">
        <f>AND(#REF!,"AAAAAHt/3rk=")</f>
        <v>#REF!</v>
      </c>
      <c r="GE30" t="e">
        <f>AND(#REF!,"AAAAAHt/3ro=")</f>
        <v>#REF!</v>
      </c>
      <c r="GF30" t="e">
        <f>AND(#REF!,"AAAAAHt/3rs=")</f>
        <v>#REF!</v>
      </c>
      <c r="GG30" t="e">
        <f>IF(#REF!,"AAAAAHt/3rw=",0)</f>
        <v>#REF!</v>
      </c>
      <c r="GH30" t="e">
        <f>AND(#REF!,"AAAAAHt/3r0=")</f>
        <v>#REF!</v>
      </c>
      <c r="GI30" t="e">
        <f>AND(#REF!,"AAAAAHt/3r4=")</f>
        <v>#REF!</v>
      </c>
      <c r="GJ30" t="e">
        <f>AND(#REF!,"AAAAAHt/3r8=")</f>
        <v>#REF!</v>
      </c>
      <c r="GK30" t="e">
        <f>AND(#REF!,"AAAAAHt/3sA=")</f>
        <v>#REF!</v>
      </c>
      <c r="GL30" t="e">
        <f>AND(#REF!,"AAAAAHt/3sE=")</f>
        <v>#REF!</v>
      </c>
      <c r="GM30" t="e">
        <f>AND(#REF!,"AAAAAHt/3sI=")</f>
        <v>#REF!</v>
      </c>
      <c r="GN30" t="e">
        <f>AND(#REF!,"AAAAAHt/3sM=")</f>
        <v>#REF!</v>
      </c>
      <c r="GO30" t="e">
        <f>AND(#REF!,"AAAAAHt/3sQ=")</f>
        <v>#REF!</v>
      </c>
      <c r="GP30" t="e">
        <f>AND(#REF!,"AAAAAHt/3sU=")</f>
        <v>#REF!</v>
      </c>
      <c r="GQ30" t="e">
        <f>IF(#REF!,"AAAAAHt/3sY=",0)</f>
        <v>#REF!</v>
      </c>
      <c r="GR30" t="e">
        <f>AND(#REF!,"AAAAAHt/3sc=")</f>
        <v>#REF!</v>
      </c>
      <c r="GS30" t="e">
        <f>AND(#REF!,"AAAAAHt/3sg=")</f>
        <v>#REF!</v>
      </c>
      <c r="GT30" t="e">
        <f>AND(#REF!,"AAAAAHt/3sk=")</f>
        <v>#REF!</v>
      </c>
      <c r="GU30" t="e">
        <f>AND(#REF!,"AAAAAHt/3so=")</f>
        <v>#REF!</v>
      </c>
      <c r="GV30" t="e">
        <f>AND(#REF!,"AAAAAHt/3ss=")</f>
        <v>#REF!</v>
      </c>
      <c r="GW30" t="e">
        <f>AND(#REF!,"AAAAAHt/3sw=")</f>
        <v>#REF!</v>
      </c>
      <c r="GX30" t="e">
        <f>AND(#REF!,"AAAAAHt/3s0=")</f>
        <v>#REF!</v>
      </c>
      <c r="GY30" t="e">
        <f>AND(#REF!,"AAAAAHt/3s4=")</f>
        <v>#REF!</v>
      </c>
      <c r="GZ30" t="e">
        <f>AND(#REF!,"AAAAAHt/3s8=")</f>
        <v>#REF!</v>
      </c>
      <c r="HA30" t="e">
        <f>IF(#REF!,"AAAAAHt/3tA=",0)</f>
        <v>#REF!</v>
      </c>
      <c r="HB30" t="e">
        <f>AND(#REF!,"AAAAAHt/3tE=")</f>
        <v>#REF!</v>
      </c>
      <c r="HC30" t="e">
        <f>AND(#REF!,"AAAAAHt/3tI=")</f>
        <v>#REF!</v>
      </c>
      <c r="HD30" t="e">
        <f>AND(#REF!,"AAAAAHt/3tM=")</f>
        <v>#REF!</v>
      </c>
      <c r="HE30" t="e">
        <f>AND(#REF!,"AAAAAHt/3tQ=")</f>
        <v>#REF!</v>
      </c>
      <c r="HF30" t="e">
        <f>AND(#REF!,"AAAAAHt/3tU=")</f>
        <v>#REF!</v>
      </c>
      <c r="HG30" t="e">
        <f>AND(#REF!,"AAAAAHt/3tY=")</f>
        <v>#REF!</v>
      </c>
      <c r="HH30" t="e">
        <f>AND(#REF!,"AAAAAHt/3tc=")</f>
        <v>#REF!</v>
      </c>
      <c r="HI30" t="e">
        <f>AND(#REF!,"AAAAAHt/3tg=")</f>
        <v>#REF!</v>
      </c>
      <c r="HJ30" t="e">
        <f>AND(#REF!,"AAAAAHt/3tk=")</f>
        <v>#REF!</v>
      </c>
      <c r="HK30" t="e">
        <f>IF(#REF!,"AAAAAHt/3to=",0)</f>
        <v>#REF!</v>
      </c>
      <c r="HL30" t="e">
        <f>AND(#REF!,"AAAAAHt/3ts=")</f>
        <v>#REF!</v>
      </c>
      <c r="HM30" t="e">
        <f>AND(#REF!,"AAAAAHt/3tw=")</f>
        <v>#REF!</v>
      </c>
      <c r="HN30" t="e">
        <f>AND(#REF!,"AAAAAHt/3t0=")</f>
        <v>#REF!</v>
      </c>
      <c r="HO30" t="e">
        <f>AND(#REF!,"AAAAAHt/3t4=")</f>
        <v>#REF!</v>
      </c>
      <c r="HP30" t="e">
        <f>AND(#REF!,"AAAAAHt/3t8=")</f>
        <v>#REF!</v>
      </c>
      <c r="HQ30" t="e">
        <f>AND(#REF!,"AAAAAHt/3uA=")</f>
        <v>#REF!</v>
      </c>
      <c r="HR30" t="e">
        <f>AND(#REF!,"AAAAAHt/3uE=")</f>
        <v>#REF!</v>
      </c>
      <c r="HS30" t="e">
        <f>AND(#REF!,"AAAAAHt/3uI=")</f>
        <v>#REF!</v>
      </c>
      <c r="HT30" t="e">
        <f>AND(#REF!,"AAAAAHt/3uM=")</f>
        <v>#REF!</v>
      </c>
      <c r="HU30" t="e">
        <f>IF(#REF!,"AAAAAHt/3uQ=",0)</f>
        <v>#REF!</v>
      </c>
      <c r="HV30" t="e">
        <f>AND(#REF!,"AAAAAHt/3uU=")</f>
        <v>#REF!</v>
      </c>
      <c r="HW30" t="e">
        <f>AND(#REF!,"AAAAAHt/3uY=")</f>
        <v>#REF!</v>
      </c>
      <c r="HX30" t="e">
        <f>AND(#REF!,"AAAAAHt/3uc=")</f>
        <v>#REF!</v>
      </c>
      <c r="HY30" t="e">
        <f>AND(#REF!,"AAAAAHt/3ug=")</f>
        <v>#REF!</v>
      </c>
      <c r="HZ30" t="e">
        <f>AND(#REF!,"AAAAAHt/3uk=")</f>
        <v>#REF!</v>
      </c>
      <c r="IA30" t="e">
        <f>AND(#REF!,"AAAAAHt/3uo=")</f>
        <v>#REF!</v>
      </c>
      <c r="IB30" t="e">
        <f>AND(#REF!,"AAAAAHt/3us=")</f>
        <v>#REF!</v>
      </c>
      <c r="IC30" t="e">
        <f>AND(#REF!,"AAAAAHt/3uw=")</f>
        <v>#REF!</v>
      </c>
      <c r="ID30" t="e">
        <f>AND(#REF!,"AAAAAHt/3u0=")</f>
        <v>#REF!</v>
      </c>
      <c r="IE30" t="e">
        <f>IF(#REF!,"AAAAAHt/3u4=",0)</f>
        <v>#REF!</v>
      </c>
      <c r="IF30" t="e">
        <f>AND(#REF!,"AAAAAHt/3u8=")</f>
        <v>#REF!</v>
      </c>
      <c r="IG30" t="e">
        <f>AND(#REF!,"AAAAAHt/3vA=")</f>
        <v>#REF!</v>
      </c>
      <c r="IH30" t="e">
        <f>AND(#REF!,"AAAAAHt/3vE=")</f>
        <v>#REF!</v>
      </c>
      <c r="II30" t="e">
        <f>AND(#REF!,"AAAAAHt/3vI=")</f>
        <v>#REF!</v>
      </c>
      <c r="IJ30" t="e">
        <f>AND(#REF!,"AAAAAHt/3vM=")</f>
        <v>#REF!</v>
      </c>
      <c r="IK30" t="e">
        <f>AND(#REF!,"AAAAAHt/3vQ=")</f>
        <v>#REF!</v>
      </c>
      <c r="IL30" t="e">
        <f>AND(#REF!,"AAAAAHt/3vU=")</f>
        <v>#REF!</v>
      </c>
      <c r="IM30" t="e">
        <f>AND(#REF!,"AAAAAHt/3vY=")</f>
        <v>#REF!</v>
      </c>
      <c r="IN30" t="e">
        <f>AND(#REF!,"AAAAAHt/3vc=")</f>
        <v>#REF!</v>
      </c>
      <c r="IO30" t="e">
        <f>IF(#REF!,"AAAAAHt/3vg=",0)</f>
        <v>#REF!</v>
      </c>
      <c r="IP30" t="e">
        <f>AND(#REF!,"AAAAAHt/3vk=")</f>
        <v>#REF!</v>
      </c>
      <c r="IQ30" t="e">
        <f>AND(#REF!,"AAAAAHt/3vo=")</f>
        <v>#REF!</v>
      </c>
      <c r="IR30" t="e">
        <f>AND(#REF!,"AAAAAHt/3vs=")</f>
        <v>#REF!</v>
      </c>
      <c r="IS30" t="e">
        <f>AND(#REF!,"AAAAAHt/3vw=")</f>
        <v>#REF!</v>
      </c>
      <c r="IT30" t="e">
        <f>IF(#REF!,"AAAAAHt/3v0=",0)</f>
        <v>#REF!</v>
      </c>
      <c r="IU30" t="e">
        <f>AND(#REF!,"AAAAAHt/3v4=")</f>
        <v>#REF!</v>
      </c>
      <c r="IV30" t="e">
        <f>AND(#REF!,"AAAAAHt/3v8=")</f>
        <v>#REF!</v>
      </c>
    </row>
    <row r="31" spans="1:256" ht="12.75">
      <c r="A31" t="e">
        <f>AND(#REF!,"AAAAAF/XowA=")</f>
        <v>#REF!</v>
      </c>
      <c r="B31" t="e">
        <f>AND(#REF!,"AAAAAF/XowE=")</f>
        <v>#REF!</v>
      </c>
      <c r="C31" t="e">
        <f>IF(#REF!,"AAAAAF/XowI=",0)</f>
        <v>#REF!</v>
      </c>
      <c r="D31" t="e">
        <f>AND(#REF!,"AAAAAF/XowM=")</f>
        <v>#REF!</v>
      </c>
      <c r="E31" t="e">
        <f>AND(#REF!,"AAAAAF/XowQ=")</f>
        <v>#REF!</v>
      </c>
      <c r="F31" t="e">
        <f>AND(#REF!,"AAAAAF/XowU=")</f>
        <v>#REF!</v>
      </c>
      <c r="G31" t="e">
        <f>AND(#REF!,"AAAAAF/XowY=")</f>
        <v>#REF!</v>
      </c>
      <c r="H31" t="e">
        <f>IF(#REF!,"AAAAAF/Xowc=",0)</f>
        <v>#REF!</v>
      </c>
      <c r="I31" t="e">
        <f>AND(#REF!,"AAAAAF/Xowg=")</f>
        <v>#REF!</v>
      </c>
      <c r="J31" t="e">
        <f>AND(#REF!,"AAAAAF/Xowk=")</f>
        <v>#REF!</v>
      </c>
      <c r="K31" t="e">
        <f>AND(#REF!,"AAAAAF/Xowo=")</f>
        <v>#REF!</v>
      </c>
      <c r="L31" t="e">
        <f>AND(#REF!,"AAAAAF/Xows=")</f>
        <v>#REF!</v>
      </c>
      <c r="M31" t="e">
        <f>IF(#REF!,"AAAAAF/Xoww=",0)</f>
        <v>#REF!</v>
      </c>
      <c r="N31" t="e">
        <f>AND(#REF!,"AAAAAF/Xow0=")</f>
        <v>#REF!</v>
      </c>
      <c r="O31" t="e">
        <f>AND(#REF!,"AAAAAF/Xow4=")</f>
        <v>#REF!</v>
      </c>
      <c r="P31" t="e">
        <f>AND(#REF!,"AAAAAF/Xow8=")</f>
        <v>#REF!</v>
      </c>
      <c r="Q31" t="e">
        <f>AND(#REF!,"AAAAAF/XoxA=")</f>
        <v>#REF!</v>
      </c>
      <c r="R31" t="e">
        <f>IF(#REF!,"AAAAAF/XoxE=",0)</f>
        <v>#REF!</v>
      </c>
      <c r="S31" t="e">
        <f>IF(#REF!,"AAAAAF/XoxI=",0)</f>
        <v>#REF!</v>
      </c>
      <c r="T31" t="e">
        <f>IF(#REF!,"AAAAAF/XoxM=",0)</f>
        <v>#REF!</v>
      </c>
      <c r="U31" t="e">
        <f>IF(#REF!,"AAAAAF/XoxQ=",0)</f>
        <v>#REF!</v>
      </c>
      <c r="V31" t="e">
        <f>IF(#REF!,"AAAAAF/XoxU=",0)</f>
        <v>#REF!</v>
      </c>
      <c r="W31" t="e">
        <f>IF(#REF!,"AAAAAF/XoxY=",0)</f>
        <v>#REF!</v>
      </c>
      <c r="X31" t="e">
        <f>IF(#REF!,"AAAAAF/Xoxc=",0)</f>
        <v>#REF!</v>
      </c>
      <c r="Y31" t="e">
        <f>IF(#REF!,"AAAAAF/Xoxg=",0)</f>
        <v>#REF!</v>
      </c>
      <c r="Z31" t="e">
        <f>IF(#REF!,"AAAAAF/Xoxk=",0)</f>
        <v>#REF!</v>
      </c>
      <c r="AA31" t="e">
        <f>IF(#REF!,"AAAAAF/Xoxo=",0)</f>
        <v>#REF!</v>
      </c>
      <c r="AB31" t="e">
        <f>AND(#REF!,"AAAAAF/Xoxs=")</f>
        <v>#REF!</v>
      </c>
      <c r="AC31" t="e">
        <f>AND(#REF!,"AAAAAF/Xoxw=")</f>
        <v>#REF!</v>
      </c>
      <c r="AD31" t="e">
        <f>AND(#REF!,"AAAAAF/Xox0=")</f>
        <v>#REF!</v>
      </c>
      <c r="AE31" t="e">
        <f>AND(#REF!,"AAAAAF/Xox4=")</f>
        <v>#REF!</v>
      </c>
      <c r="AF31" t="e">
        <f>AND(#REF!,"AAAAAF/Xox8=")</f>
        <v>#REF!</v>
      </c>
      <c r="AG31" t="e">
        <f>AND(#REF!,"AAAAAF/XoyA=")</f>
        <v>#REF!</v>
      </c>
      <c r="AH31" t="e">
        <f>AND(#REF!,"AAAAAF/XoyE=")</f>
        <v>#REF!</v>
      </c>
      <c r="AI31" t="e">
        <f>AND(#REF!,"AAAAAF/XoyI=")</f>
        <v>#REF!</v>
      </c>
      <c r="AJ31" t="e">
        <f>AND(#REF!,"AAAAAF/XoyM=")</f>
        <v>#REF!</v>
      </c>
      <c r="AK31" t="e">
        <f>IF(#REF!,"AAAAAF/XoyQ=",0)</f>
        <v>#REF!</v>
      </c>
      <c r="AL31" t="e">
        <f>AND(#REF!,"AAAAAF/XoyU=")</f>
        <v>#REF!</v>
      </c>
      <c r="AM31" t="e">
        <f>AND(#REF!,"AAAAAF/XoyY=")</f>
        <v>#REF!</v>
      </c>
      <c r="AN31" t="e">
        <f>AND(#REF!,"AAAAAF/Xoyc=")</f>
        <v>#REF!</v>
      </c>
      <c r="AO31" t="e">
        <f>AND(#REF!,"AAAAAF/Xoyg=")</f>
        <v>#REF!</v>
      </c>
      <c r="AP31" t="e">
        <f>AND(#REF!,"AAAAAF/Xoyk=")</f>
        <v>#REF!</v>
      </c>
      <c r="AQ31" t="e">
        <f>AND(#REF!,"AAAAAF/Xoyo=")</f>
        <v>#REF!</v>
      </c>
      <c r="AR31" t="e">
        <f>AND(#REF!,"AAAAAF/Xoys=")</f>
        <v>#REF!</v>
      </c>
      <c r="AS31" t="e">
        <f>AND(#REF!,"AAAAAF/Xoyw=")</f>
        <v>#REF!</v>
      </c>
      <c r="AT31" t="e">
        <f>AND(#REF!,"AAAAAF/Xoy0=")</f>
        <v>#REF!</v>
      </c>
      <c r="AU31" t="e">
        <f>IF(#REF!,"AAAAAF/Xoy4=",0)</f>
        <v>#REF!</v>
      </c>
      <c r="AV31" t="e">
        <f>AND(#REF!,"AAAAAF/Xoy8=")</f>
        <v>#REF!</v>
      </c>
      <c r="AW31" t="e">
        <f>AND(#REF!,"AAAAAF/XozA=")</f>
        <v>#REF!</v>
      </c>
      <c r="AX31" t="e">
        <f>AND(#REF!,"AAAAAF/XozE=")</f>
        <v>#REF!</v>
      </c>
      <c r="AY31" t="e">
        <f>AND(#REF!,"AAAAAF/XozI=")</f>
        <v>#REF!</v>
      </c>
      <c r="AZ31" t="e">
        <f>AND(#REF!,"AAAAAF/XozM=")</f>
        <v>#REF!</v>
      </c>
      <c r="BA31" t="e">
        <f>AND(#REF!,"AAAAAF/XozQ=")</f>
        <v>#REF!</v>
      </c>
      <c r="BB31" t="e">
        <f>AND(#REF!,"AAAAAF/XozU=")</f>
        <v>#REF!</v>
      </c>
      <c r="BC31" t="e">
        <f>AND(#REF!,"AAAAAF/XozY=")</f>
        <v>#REF!</v>
      </c>
      <c r="BD31" t="e">
        <f>AND(#REF!,"AAAAAF/Xozc=")</f>
        <v>#REF!</v>
      </c>
      <c r="BE31" t="e">
        <f>IF(#REF!,"AAAAAF/Xozg=",0)</f>
        <v>#REF!</v>
      </c>
      <c r="BF31" t="e">
        <f>AND(#REF!,"AAAAAF/Xozk=")</f>
        <v>#REF!</v>
      </c>
      <c r="BG31" t="e">
        <f>AND(#REF!,"AAAAAF/Xozo=")</f>
        <v>#REF!</v>
      </c>
      <c r="BH31" t="e">
        <f>AND(#REF!,"AAAAAF/Xozs=")</f>
        <v>#REF!</v>
      </c>
      <c r="BI31" t="e">
        <f>AND(#REF!,"AAAAAF/Xozw=")</f>
        <v>#REF!</v>
      </c>
      <c r="BJ31" t="e">
        <f>AND(#REF!,"AAAAAF/Xoz0=")</f>
        <v>#REF!</v>
      </c>
      <c r="BK31" t="e">
        <f>AND(#REF!,"AAAAAF/Xoz4=")</f>
        <v>#REF!</v>
      </c>
      <c r="BL31" t="e">
        <f>AND(#REF!,"AAAAAF/Xoz8=")</f>
        <v>#REF!</v>
      </c>
      <c r="BM31" t="e">
        <f>AND(#REF!,"AAAAAF/Xo0A=")</f>
        <v>#REF!</v>
      </c>
      <c r="BN31" t="e">
        <f>AND(#REF!,"AAAAAF/Xo0E=")</f>
        <v>#REF!</v>
      </c>
      <c r="BO31" t="e">
        <f>IF(#REF!,"AAAAAF/Xo0I=",0)</f>
        <v>#REF!</v>
      </c>
      <c r="BP31" t="e">
        <f>AND(#REF!,"AAAAAF/Xo0M=")</f>
        <v>#REF!</v>
      </c>
      <c r="BQ31" t="e">
        <f>AND(#REF!,"AAAAAF/Xo0Q=")</f>
        <v>#REF!</v>
      </c>
      <c r="BR31" t="e">
        <f>AND(#REF!,"AAAAAF/Xo0U=")</f>
        <v>#REF!</v>
      </c>
      <c r="BS31" t="e">
        <f>AND(#REF!,"AAAAAF/Xo0Y=")</f>
        <v>#REF!</v>
      </c>
      <c r="BT31" t="e">
        <f>AND(#REF!,"AAAAAF/Xo0c=")</f>
        <v>#REF!</v>
      </c>
      <c r="BU31" t="e">
        <f>AND(#REF!,"AAAAAF/Xo0g=")</f>
        <v>#REF!</v>
      </c>
      <c r="BV31" t="e">
        <f>AND(#REF!,"AAAAAF/Xo0k=")</f>
        <v>#REF!</v>
      </c>
      <c r="BW31" t="e">
        <f>AND(#REF!,"AAAAAF/Xo0o=")</f>
        <v>#REF!</v>
      </c>
      <c r="BX31" t="e">
        <f>AND(#REF!,"AAAAAF/Xo0s=")</f>
        <v>#REF!</v>
      </c>
      <c r="BY31" t="e">
        <f>IF(#REF!,"AAAAAF/Xo0w=",0)</f>
        <v>#REF!</v>
      </c>
      <c r="BZ31" t="e">
        <f>AND(#REF!,"AAAAAF/Xo00=")</f>
        <v>#REF!</v>
      </c>
      <c r="CA31" t="e">
        <f>AND(#REF!,"AAAAAF/Xo04=")</f>
        <v>#REF!</v>
      </c>
      <c r="CB31" t="e">
        <f>AND(#REF!,"AAAAAF/Xo08=")</f>
        <v>#REF!</v>
      </c>
      <c r="CC31" t="e">
        <f>AND(#REF!,"AAAAAF/Xo1A=")</f>
        <v>#REF!</v>
      </c>
      <c r="CD31" t="e">
        <f>AND(#REF!,"AAAAAF/Xo1E=")</f>
        <v>#REF!</v>
      </c>
      <c r="CE31" t="e">
        <f>AND(#REF!,"AAAAAF/Xo1I=")</f>
        <v>#REF!</v>
      </c>
      <c r="CF31" t="e">
        <f>AND(#REF!,"AAAAAF/Xo1M=")</f>
        <v>#REF!</v>
      </c>
      <c r="CG31" t="e">
        <f>AND(#REF!,"AAAAAF/Xo1Q=")</f>
        <v>#REF!</v>
      </c>
      <c r="CH31" t="e">
        <f>AND(#REF!,"AAAAAF/Xo1U=")</f>
        <v>#REF!</v>
      </c>
      <c r="CI31" t="e">
        <f>IF(#REF!,"AAAAAF/Xo1Y=",0)</f>
        <v>#REF!</v>
      </c>
      <c r="CJ31" t="e">
        <f>AND(#REF!,"AAAAAF/Xo1c=")</f>
        <v>#REF!</v>
      </c>
      <c r="CK31" t="e">
        <f>AND(#REF!,"AAAAAF/Xo1g=")</f>
        <v>#REF!</v>
      </c>
      <c r="CL31" t="e">
        <f>AND(#REF!,"AAAAAF/Xo1k=")</f>
        <v>#REF!</v>
      </c>
      <c r="CM31" t="e">
        <f>AND(#REF!,"AAAAAF/Xo1o=")</f>
        <v>#REF!</v>
      </c>
      <c r="CN31" t="e">
        <f>AND(#REF!,"AAAAAF/Xo1s=")</f>
        <v>#REF!</v>
      </c>
      <c r="CO31" t="e">
        <f>AND(#REF!,"AAAAAF/Xo1w=")</f>
        <v>#REF!</v>
      </c>
      <c r="CP31" t="e">
        <f>AND(#REF!,"AAAAAF/Xo10=")</f>
        <v>#REF!</v>
      </c>
      <c r="CQ31" t="e">
        <f>AND(#REF!,"AAAAAF/Xo14=")</f>
        <v>#REF!</v>
      </c>
      <c r="CR31" t="e">
        <f>AND(#REF!,"AAAAAF/Xo18=")</f>
        <v>#REF!</v>
      </c>
      <c r="CS31" t="e">
        <f>IF(#REF!,"AAAAAF/Xo2A=",0)</f>
        <v>#REF!</v>
      </c>
      <c r="CT31" t="e">
        <f>AND(#REF!,"AAAAAF/Xo2E=")</f>
        <v>#REF!</v>
      </c>
      <c r="CU31" t="e">
        <f>AND(#REF!,"AAAAAF/Xo2I=")</f>
        <v>#REF!</v>
      </c>
      <c r="CV31" t="e">
        <f>AND(#REF!,"AAAAAF/Xo2M=")</f>
        <v>#REF!</v>
      </c>
      <c r="CW31" t="e">
        <f>AND(#REF!,"AAAAAF/Xo2Q=")</f>
        <v>#REF!</v>
      </c>
      <c r="CX31" t="e">
        <f>AND(#REF!,"AAAAAF/Xo2U=")</f>
        <v>#REF!</v>
      </c>
      <c r="CY31" t="e">
        <f>AND(#REF!,"AAAAAF/Xo2Y=")</f>
        <v>#REF!</v>
      </c>
      <c r="CZ31" t="e">
        <f>AND(#REF!,"AAAAAF/Xo2c=")</f>
        <v>#REF!</v>
      </c>
      <c r="DA31" t="e">
        <f>AND(#REF!,"AAAAAF/Xo2g=")</f>
        <v>#REF!</v>
      </c>
      <c r="DB31" t="e">
        <f>AND(#REF!,"AAAAAF/Xo2k=")</f>
        <v>#REF!</v>
      </c>
      <c r="DC31" t="e">
        <f>IF(#REF!,"AAAAAF/Xo2o=",0)</f>
        <v>#REF!</v>
      </c>
      <c r="DD31" t="e">
        <f>AND(#REF!,"AAAAAF/Xo2s=")</f>
        <v>#REF!</v>
      </c>
      <c r="DE31" t="e">
        <f>AND(#REF!,"AAAAAF/Xo2w=")</f>
        <v>#REF!</v>
      </c>
      <c r="DF31" t="e">
        <f>AND(#REF!,"AAAAAF/Xo20=")</f>
        <v>#REF!</v>
      </c>
      <c r="DG31" t="e">
        <f>AND(#REF!,"AAAAAF/Xo24=")</f>
        <v>#REF!</v>
      </c>
      <c r="DH31" t="e">
        <f>AND(#REF!,"AAAAAF/Xo28=")</f>
        <v>#REF!</v>
      </c>
      <c r="DI31" t="e">
        <f>AND(#REF!,"AAAAAF/Xo3A=")</f>
        <v>#REF!</v>
      </c>
      <c r="DJ31" t="e">
        <f>AND(#REF!,"AAAAAF/Xo3E=")</f>
        <v>#REF!</v>
      </c>
      <c r="DK31" t="e">
        <f>AND(#REF!,"AAAAAF/Xo3I=")</f>
        <v>#REF!</v>
      </c>
      <c r="DL31" t="e">
        <f>AND(#REF!,"AAAAAF/Xo3M=")</f>
        <v>#REF!</v>
      </c>
      <c r="DM31" t="e">
        <f>IF(#REF!,"AAAAAF/Xo3Q=",0)</f>
        <v>#REF!</v>
      </c>
      <c r="DN31" t="e">
        <f>AND(#REF!,"AAAAAF/Xo3U=")</f>
        <v>#REF!</v>
      </c>
      <c r="DO31" t="e">
        <f>AND(#REF!,"AAAAAF/Xo3Y=")</f>
        <v>#REF!</v>
      </c>
      <c r="DP31" t="e">
        <f>AND(#REF!,"AAAAAF/Xo3c=")</f>
        <v>#REF!</v>
      </c>
      <c r="DQ31" t="e">
        <f>AND(#REF!,"AAAAAF/Xo3g=")</f>
        <v>#REF!</v>
      </c>
      <c r="DR31" t="e">
        <f>AND(#REF!,"AAAAAF/Xo3k=")</f>
        <v>#REF!</v>
      </c>
      <c r="DS31" t="e">
        <f>AND(#REF!,"AAAAAF/Xo3o=")</f>
        <v>#REF!</v>
      </c>
      <c r="DT31" t="e">
        <f>AND(#REF!,"AAAAAF/Xo3s=")</f>
        <v>#REF!</v>
      </c>
      <c r="DU31" t="e">
        <f>AND(#REF!,"AAAAAF/Xo3w=")</f>
        <v>#REF!</v>
      </c>
      <c r="DV31" t="e">
        <f>AND(#REF!,"AAAAAF/Xo30=")</f>
        <v>#REF!</v>
      </c>
      <c r="DW31" t="e">
        <f>IF(#REF!,"AAAAAF/Xo34=",0)</f>
        <v>#REF!</v>
      </c>
      <c r="DX31" t="e">
        <f>AND(#REF!,"AAAAAF/Xo38=")</f>
        <v>#REF!</v>
      </c>
      <c r="DY31" t="e">
        <f>AND(#REF!,"AAAAAF/Xo4A=")</f>
        <v>#REF!</v>
      </c>
      <c r="DZ31" t="e">
        <f>AND(#REF!,"AAAAAF/Xo4E=")</f>
        <v>#REF!</v>
      </c>
      <c r="EA31" t="e">
        <f>AND(#REF!,"AAAAAF/Xo4I=")</f>
        <v>#REF!</v>
      </c>
      <c r="EB31" t="e">
        <f>AND(#REF!,"AAAAAF/Xo4M=")</f>
        <v>#REF!</v>
      </c>
      <c r="EC31" t="e">
        <f>AND(#REF!,"AAAAAF/Xo4Q=")</f>
        <v>#REF!</v>
      </c>
      <c r="ED31" t="e">
        <f>AND(#REF!,"AAAAAF/Xo4U=")</f>
        <v>#REF!</v>
      </c>
      <c r="EE31" t="e">
        <f>AND(#REF!,"AAAAAF/Xo4Y=")</f>
        <v>#REF!</v>
      </c>
      <c r="EF31" t="e">
        <f>AND(#REF!,"AAAAAF/Xo4c=")</f>
        <v>#REF!</v>
      </c>
      <c r="EG31" t="e">
        <f>IF(#REF!,"AAAAAF/Xo4g=",0)</f>
        <v>#REF!</v>
      </c>
      <c r="EH31" t="e">
        <f>AND(#REF!,"AAAAAF/Xo4k=")</f>
        <v>#REF!</v>
      </c>
      <c r="EI31" t="e">
        <f>AND(#REF!,"AAAAAF/Xo4o=")</f>
        <v>#REF!</v>
      </c>
      <c r="EJ31" t="e">
        <f>AND(#REF!,"AAAAAF/Xo4s=")</f>
        <v>#REF!</v>
      </c>
      <c r="EK31" t="e">
        <f>AND(#REF!,"AAAAAF/Xo4w=")</f>
        <v>#REF!</v>
      </c>
      <c r="EL31" t="e">
        <f>AND(#REF!,"AAAAAF/Xo40=")</f>
        <v>#REF!</v>
      </c>
      <c r="EM31" t="e">
        <f>AND(#REF!,"AAAAAF/Xo44=")</f>
        <v>#REF!</v>
      </c>
      <c r="EN31" t="e">
        <f>AND(#REF!,"AAAAAF/Xo48=")</f>
        <v>#REF!</v>
      </c>
      <c r="EO31" t="e">
        <f>AND(#REF!,"AAAAAF/Xo5A=")</f>
        <v>#REF!</v>
      </c>
      <c r="EP31" t="e">
        <f>AND(#REF!,"AAAAAF/Xo5E=")</f>
        <v>#REF!</v>
      </c>
      <c r="EQ31" t="e">
        <f>IF(#REF!,"AAAAAF/Xo5I=",0)</f>
        <v>#REF!</v>
      </c>
      <c r="ER31" t="e">
        <f>AND(#REF!,"AAAAAF/Xo5M=")</f>
        <v>#REF!</v>
      </c>
      <c r="ES31" t="e">
        <f>AND(#REF!,"AAAAAF/Xo5Q=")</f>
        <v>#REF!</v>
      </c>
      <c r="ET31" t="e">
        <f>AND(#REF!,"AAAAAF/Xo5U=")</f>
        <v>#REF!</v>
      </c>
      <c r="EU31" t="e">
        <f>AND(#REF!,"AAAAAF/Xo5Y=")</f>
        <v>#REF!</v>
      </c>
      <c r="EV31" t="e">
        <f>AND(#REF!,"AAAAAF/Xo5c=")</f>
        <v>#REF!</v>
      </c>
      <c r="EW31" t="e">
        <f>AND(#REF!,"AAAAAF/Xo5g=")</f>
        <v>#REF!</v>
      </c>
      <c r="EX31" t="e">
        <f>AND(#REF!,"AAAAAF/Xo5k=")</f>
        <v>#REF!</v>
      </c>
      <c r="EY31" t="e">
        <f>AND(#REF!,"AAAAAF/Xo5o=")</f>
        <v>#REF!</v>
      </c>
      <c r="EZ31" t="e">
        <f>AND(#REF!,"AAAAAF/Xo5s=")</f>
        <v>#REF!</v>
      </c>
      <c r="FA31" t="e">
        <f>IF(#REF!,"AAAAAF/Xo5w=",0)</f>
        <v>#REF!</v>
      </c>
      <c r="FB31" t="e">
        <f>AND(#REF!,"AAAAAF/Xo50=")</f>
        <v>#REF!</v>
      </c>
      <c r="FC31" t="e">
        <f>AND(#REF!,"AAAAAF/Xo54=")</f>
        <v>#REF!</v>
      </c>
      <c r="FD31" t="e">
        <f>AND(#REF!,"AAAAAF/Xo58=")</f>
        <v>#REF!</v>
      </c>
      <c r="FE31" t="e">
        <f>AND(#REF!,"AAAAAF/Xo6A=")</f>
        <v>#REF!</v>
      </c>
      <c r="FF31" t="e">
        <f>AND(#REF!,"AAAAAF/Xo6E=")</f>
        <v>#REF!</v>
      </c>
      <c r="FG31" t="e">
        <f>AND(#REF!,"AAAAAF/Xo6I=")</f>
        <v>#REF!</v>
      </c>
      <c r="FH31" t="e">
        <f>AND(#REF!,"AAAAAF/Xo6M=")</f>
        <v>#REF!</v>
      </c>
      <c r="FI31" t="e">
        <f>AND(#REF!,"AAAAAF/Xo6Q=")</f>
        <v>#REF!</v>
      </c>
      <c r="FJ31" t="e">
        <f>AND(#REF!,"AAAAAF/Xo6U=")</f>
        <v>#REF!</v>
      </c>
      <c r="FK31" t="e">
        <f>IF(#REF!,"AAAAAF/Xo6Y=",0)</f>
        <v>#REF!</v>
      </c>
      <c r="FL31" t="e">
        <f>AND(#REF!,"AAAAAF/Xo6c=")</f>
        <v>#REF!</v>
      </c>
      <c r="FM31" t="e">
        <f>AND(#REF!,"AAAAAF/Xo6g=")</f>
        <v>#REF!</v>
      </c>
      <c r="FN31" t="e">
        <f>AND(#REF!,"AAAAAF/Xo6k=")</f>
        <v>#REF!</v>
      </c>
      <c r="FO31" t="e">
        <f>AND(#REF!,"AAAAAF/Xo6o=")</f>
        <v>#REF!</v>
      </c>
      <c r="FP31" t="e">
        <f>AND(#REF!,"AAAAAF/Xo6s=")</f>
        <v>#REF!</v>
      </c>
      <c r="FQ31" t="e">
        <f>AND(#REF!,"AAAAAF/Xo6w=")</f>
        <v>#REF!</v>
      </c>
      <c r="FR31" t="e">
        <f>AND(#REF!,"AAAAAF/Xo60=")</f>
        <v>#REF!</v>
      </c>
      <c r="FS31" t="e">
        <f>AND(#REF!,"AAAAAF/Xo64=")</f>
        <v>#REF!</v>
      </c>
      <c r="FT31" t="e">
        <f>AND(#REF!,"AAAAAF/Xo68=")</f>
        <v>#REF!</v>
      </c>
      <c r="FU31" t="e">
        <f>IF(#REF!,"AAAAAF/Xo7A=",0)</f>
        <v>#REF!</v>
      </c>
      <c r="FV31" t="e">
        <f>AND(#REF!,"AAAAAF/Xo7E=")</f>
        <v>#REF!</v>
      </c>
      <c r="FW31" t="e">
        <f>AND(#REF!,"AAAAAF/Xo7I=")</f>
        <v>#REF!</v>
      </c>
      <c r="FX31" t="e">
        <f>AND(#REF!,"AAAAAF/Xo7M=")</f>
        <v>#REF!</v>
      </c>
      <c r="FY31" t="e">
        <f>AND(#REF!,"AAAAAF/Xo7Q=")</f>
        <v>#REF!</v>
      </c>
      <c r="FZ31" t="e">
        <f>AND(#REF!,"AAAAAF/Xo7U=")</f>
        <v>#REF!</v>
      </c>
      <c r="GA31" t="e">
        <f>AND(#REF!,"AAAAAF/Xo7Y=")</f>
        <v>#REF!</v>
      </c>
      <c r="GB31" t="e">
        <f>AND(#REF!,"AAAAAF/Xo7c=")</f>
        <v>#REF!</v>
      </c>
      <c r="GC31" t="e">
        <f>AND(#REF!,"AAAAAF/Xo7g=")</f>
        <v>#REF!</v>
      </c>
      <c r="GD31" t="e">
        <f>AND(#REF!,"AAAAAF/Xo7k=")</f>
        <v>#REF!</v>
      </c>
      <c r="GE31" t="e">
        <f>IF(#REF!,"AAAAAF/Xo7o=",0)</f>
        <v>#REF!</v>
      </c>
      <c r="GF31" t="e">
        <f>IF(#REF!,"AAAAAF/Xo7s=",0)</f>
        <v>#REF!</v>
      </c>
      <c r="GG31" t="e">
        <f>IF(#REF!,"AAAAAF/Xo7w=",0)</f>
        <v>#REF!</v>
      </c>
      <c r="GH31" t="e">
        <f>IF(#REF!,"AAAAAF/Xo70=",0)</f>
        <v>#REF!</v>
      </c>
      <c r="GI31" t="e">
        <f>IF(#REF!,"AAAAAF/Xo74=",0)</f>
        <v>#REF!</v>
      </c>
      <c r="GJ31" t="e">
        <f>IF(#REF!,"AAAAAF/Xo78=",0)</f>
        <v>#REF!</v>
      </c>
      <c r="GK31" t="e">
        <f>IF(#REF!,"AAAAAF/Xo8A=",0)</f>
        <v>#REF!</v>
      </c>
      <c r="GL31" t="e">
        <f>IF(#REF!,"AAAAAF/Xo8E=",0)</f>
        <v>#REF!</v>
      </c>
      <c r="GM31" t="e">
        <f>IF(#REF!,"AAAAAF/Xo8I=",0)</f>
        <v>#REF!</v>
      </c>
      <c r="GN31" t="e">
        <f>IF(#REF!,"AAAAAF/Xo8M=",0)</f>
        <v>#REF!</v>
      </c>
      <c r="GO31" t="e">
        <f>IF(#REF!,"AAAAAF/Xo8Q=",0)</f>
        <v>#REF!</v>
      </c>
      <c r="GP31" t="e">
        <f>IF(#REF!,"AAAAAF/Xo8U=",0)</f>
        <v>#REF!</v>
      </c>
      <c r="GQ31" t="e">
        <f>IF(#REF!,"AAAAAF/Xo8Y=",0)</f>
        <v>#REF!</v>
      </c>
      <c r="GR31" t="e">
        <f>AND(#REF!,"AAAAAF/Xo8c=")</f>
        <v>#REF!</v>
      </c>
      <c r="GS31" t="e">
        <f>AND(#REF!,"AAAAAF/Xo8g=")</f>
        <v>#REF!</v>
      </c>
      <c r="GT31" t="e">
        <f>AND(#REF!,"AAAAAF/Xo8k=")</f>
        <v>#REF!</v>
      </c>
      <c r="GU31" t="e">
        <f>AND(#REF!,"AAAAAF/Xo8o=")</f>
        <v>#REF!</v>
      </c>
      <c r="GV31" t="e">
        <f>AND(#REF!,"AAAAAF/Xo8s=")</f>
        <v>#REF!</v>
      </c>
      <c r="GW31" t="e">
        <f>AND(#REF!,"AAAAAF/Xo8w=")</f>
        <v>#REF!</v>
      </c>
      <c r="GX31" t="e">
        <f>AND(#REF!,"AAAAAF/Xo80=")</f>
        <v>#REF!</v>
      </c>
      <c r="GY31" t="e">
        <f>AND(#REF!,"AAAAAF/Xo84=")</f>
        <v>#REF!</v>
      </c>
      <c r="GZ31" t="e">
        <f>AND(#REF!,"AAAAAF/Xo88=")</f>
        <v>#REF!</v>
      </c>
      <c r="HA31" t="e">
        <f>IF(#REF!,"AAAAAF/Xo9A=",0)</f>
        <v>#REF!</v>
      </c>
      <c r="HB31" t="e">
        <f>AND(#REF!,"AAAAAF/Xo9E=")</f>
        <v>#REF!</v>
      </c>
      <c r="HC31" t="e">
        <f>AND(#REF!,"AAAAAF/Xo9I=")</f>
        <v>#REF!</v>
      </c>
      <c r="HD31" t="e">
        <f>AND(#REF!,"AAAAAF/Xo9M=")</f>
        <v>#REF!</v>
      </c>
      <c r="HE31" t="e">
        <f>AND(#REF!,"AAAAAF/Xo9Q=")</f>
        <v>#REF!</v>
      </c>
      <c r="HF31" t="e">
        <f>AND(#REF!,"AAAAAF/Xo9U=")</f>
        <v>#REF!</v>
      </c>
      <c r="HG31" t="e">
        <f>AND(#REF!,"AAAAAF/Xo9Y=")</f>
        <v>#REF!</v>
      </c>
      <c r="HH31" t="e">
        <f>AND(#REF!,"AAAAAF/Xo9c=")</f>
        <v>#REF!</v>
      </c>
      <c r="HI31" t="e">
        <f>AND(#REF!,"AAAAAF/Xo9g=")</f>
        <v>#REF!</v>
      </c>
      <c r="HJ31" t="e">
        <f>AND(#REF!,"AAAAAF/Xo9k=")</f>
        <v>#REF!</v>
      </c>
      <c r="HK31" t="e">
        <f>IF(#REF!,"AAAAAF/Xo9o=",0)</f>
        <v>#REF!</v>
      </c>
      <c r="HL31" t="e">
        <f>AND(#REF!,"AAAAAF/Xo9s=")</f>
        <v>#REF!</v>
      </c>
      <c r="HM31" t="e">
        <f>AND(#REF!,"AAAAAF/Xo9w=")</f>
        <v>#REF!</v>
      </c>
      <c r="HN31" t="e">
        <f>AND(#REF!,"AAAAAF/Xo90=")</f>
        <v>#REF!</v>
      </c>
      <c r="HO31" t="e">
        <f>AND(#REF!,"AAAAAF/Xo94=")</f>
        <v>#REF!</v>
      </c>
      <c r="HP31" t="e">
        <f>AND(#REF!,"AAAAAF/Xo98=")</f>
        <v>#REF!</v>
      </c>
      <c r="HQ31" t="e">
        <f>AND(#REF!,"AAAAAF/Xo+A=")</f>
        <v>#REF!</v>
      </c>
      <c r="HR31" t="e">
        <f>AND(#REF!,"AAAAAF/Xo+E=")</f>
        <v>#REF!</v>
      </c>
      <c r="HS31" t="e">
        <f>AND(#REF!,"AAAAAF/Xo+I=")</f>
        <v>#REF!</v>
      </c>
      <c r="HT31" t="e">
        <f>AND(#REF!,"AAAAAF/Xo+M=")</f>
        <v>#REF!</v>
      </c>
      <c r="HU31" t="e">
        <f>IF(#REF!,"AAAAAF/Xo+Q=",0)</f>
        <v>#REF!</v>
      </c>
      <c r="HV31" t="e">
        <f>AND(#REF!,"AAAAAF/Xo+U=")</f>
        <v>#REF!</v>
      </c>
      <c r="HW31" t="e">
        <f>AND(#REF!,"AAAAAF/Xo+Y=")</f>
        <v>#REF!</v>
      </c>
      <c r="HX31" t="e">
        <f>AND(#REF!,"AAAAAF/Xo+c=")</f>
        <v>#REF!</v>
      </c>
      <c r="HY31" t="e">
        <f>AND(#REF!,"AAAAAF/Xo+g=")</f>
        <v>#REF!</v>
      </c>
      <c r="HZ31" t="e">
        <f>AND(#REF!,"AAAAAF/Xo+k=")</f>
        <v>#REF!</v>
      </c>
      <c r="IA31" t="e">
        <f>AND(#REF!,"AAAAAF/Xo+o=")</f>
        <v>#REF!</v>
      </c>
      <c r="IB31" t="e">
        <f>AND(#REF!,"AAAAAF/Xo+s=")</f>
        <v>#REF!</v>
      </c>
      <c r="IC31" t="e">
        <f>AND(#REF!,"AAAAAF/Xo+w=")</f>
        <v>#REF!</v>
      </c>
      <c r="ID31" t="e">
        <f>AND(#REF!,"AAAAAF/Xo+0=")</f>
        <v>#REF!</v>
      </c>
      <c r="IE31" t="e">
        <f>IF(#REF!,"AAAAAF/Xo+4=",0)</f>
        <v>#REF!</v>
      </c>
      <c r="IF31" t="e">
        <f>AND(#REF!,"AAAAAF/Xo+8=")</f>
        <v>#REF!</v>
      </c>
      <c r="IG31" t="e">
        <f>AND(#REF!,"AAAAAF/Xo/A=")</f>
        <v>#REF!</v>
      </c>
      <c r="IH31" t="e">
        <f>AND(#REF!,"AAAAAF/Xo/E=")</f>
        <v>#REF!</v>
      </c>
      <c r="II31" t="e">
        <f>AND(#REF!,"AAAAAF/Xo/I=")</f>
        <v>#REF!</v>
      </c>
      <c r="IJ31" t="e">
        <f>AND(#REF!,"AAAAAF/Xo/M=")</f>
        <v>#REF!</v>
      </c>
      <c r="IK31" t="e">
        <f>AND(#REF!,"AAAAAF/Xo/Q=")</f>
        <v>#REF!</v>
      </c>
      <c r="IL31" t="e">
        <f>AND(#REF!,"AAAAAF/Xo/U=")</f>
        <v>#REF!</v>
      </c>
      <c r="IM31" t="e">
        <f>AND(#REF!,"AAAAAF/Xo/Y=")</f>
        <v>#REF!</v>
      </c>
      <c r="IN31" t="e">
        <f>AND(#REF!,"AAAAAF/Xo/c=")</f>
        <v>#REF!</v>
      </c>
      <c r="IO31" t="e">
        <f>IF(#REF!,"AAAAAF/Xo/g=",0)</f>
        <v>#REF!</v>
      </c>
      <c r="IP31" t="e">
        <f>AND(#REF!,"AAAAAF/Xo/k=")</f>
        <v>#REF!</v>
      </c>
      <c r="IQ31" t="e">
        <f>AND(#REF!,"AAAAAF/Xo/o=")</f>
        <v>#REF!</v>
      </c>
      <c r="IR31" t="e">
        <f>AND(#REF!,"AAAAAF/Xo/s=")</f>
        <v>#REF!</v>
      </c>
      <c r="IS31" t="e">
        <f>AND(#REF!,"AAAAAF/Xo/w=")</f>
        <v>#REF!</v>
      </c>
      <c r="IT31" t="e">
        <f>AND(#REF!,"AAAAAF/Xo/0=")</f>
        <v>#REF!</v>
      </c>
      <c r="IU31" t="e">
        <f>AND(#REF!,"AAAAAF/Xo/4=")</f>
        <v>#REF!</v>
      </c>
      <c r="IV31" t="e">
        <f>AND(#REF!,"AAAAAF/Xo/8=")</f>
        <v>#REF!</v>
      </c>
    </row>
    <row r="32" spans="1:256" ht="12.75">
      <c r="A32" t="e">
        <f>AND(#REF!,"AAAAADf//wA=")</f>
        <v>#REF!</v>
      </c>
      <c r="B32" t="e">
        <f>AND(#REF!,"AAAAADf//wE=")</f>
        <v>#REF!</v>
      </c>
      <c r="C32" t="e">
        <f>IF(#REF!,"AAAAADf//wI=",0)</f>
        <v>#REF!</v>
      </c>
      <c r="D32" t="e">
        <f>AND(#REF!,"AAAAADf//wM=")</f>
        <v>#REF!</v>
      </c>
      <c r="E32" t="e">
        <f>AND(#REF!,"AAAAADf//wQ=")</f>
        <v>#REF!</v>
      </c>
      <c r="F32" t="e">
        <f>AND(#REF!,"AAAAADf//wU=")</f>
        <v>#REF!</v>
      </c>
      <c r="G32" t="e">
        <f>AND(#REF!,"AAAAADf//wY=")</f>
        <v>#REF!</v>
      </c>
      <c r="H32" t="e">
        <f>AND(#REF!,"AAAAADf//wc=")</f>
        <v>#REF!</v>
      </c>
      <c r="I32" t="e">
        <f>AND(#REF!,"AAAAADf//wg=")</f>
        <v>#REF!</v>
      </c>
      <c r="J32" t="e">
        <f>AND(#REF!,"AAAAADf//wk=")</f>
        <v>#REF!</v>
      </c>
      <c r="K32" t="e">
        <f>AND(#REF!,"AAAAADf//wo=")</f>
        <v>#REF!</v>
      </c>
      <c r="L32" t="e">
        <f>AND(#REF!,"AAAAADf//ws=")</f>
        <v>#REF!</v>
      </c>
      <c r="M32" t="e">
        <f>IF(#REF!,"AAAAADf//ww=",0)</f>
        <v>#REF!</v>
      </c>
      <c r="N32" t="e">
        <f>AND(#REF!,"AAAAADf//w0=")</f>
        <v>#REF!</v>
      </c>
      <c r="O32" t="e">
        <f>AND(#REF!,"AAAAADf//w4=")</f>
        <v>#REF!</v>
      </c>
      <c r="P32" t="e">
        <f>AND(#REF!,"AAAAADf//w8=")</f>
        <v>#REF!</v>
      </c>
      <c r="Q32" t="e">
        <f>AND(#REF!,"AAAAADf//xA=")</f>
        <v>#REF!</v>
      </c>
      <c r="R32" t="e">
        <f>AND(#REF!,"AAAAADf//xE=")</f>
        <v>#REF!</v>
      </c>
      <c r="S32" t="e">
        <f>AND(#REF!,"AAAAADf//xI=")</f>
        <v>#REF!</v>
      </c>
      <c r="T32" t="e">
        <f>AND(#REF!,"AAAAADf//xM=")</f>
        <v>#REF!</v>
      </c>
      <c r="U32" t="e">
        <f>AND(#REF!,"AAAAADf//xQ=")</f>
        <v>#REF!</v>
      </c>
      <c r="V32" t="e">
        <f>AND(#REF!,"AAAAADf//xU=")</f>
        <v>#REF!</v>
      </c>
      <c r="W32" t="e">
        <f>IF(#REF!,"AAAAADf//xY=",0)</f>
        <v>#REF!</v>
      </c>
      <c r="X32" t="e">
        <f>AND(#REF!,"AAAAADf//xc=")</f>
        <v>#REF!</v>
      </c>
      <c r="Y32" t="e">
        <f>AND(#REF!,"AAAAADf//xg=")</f>
        <v>#REF!</v>
      </c>
      <c r="Z32" t="e">
        <f>AND(#REF!,"AAAAADf//xk=")</f>
        <v>#REF!</v>
      </c>
      <c r="AA32" t="e">
        <f>AND(#REF!,"AAAAADf//xo=")</f>
        <v>#REF!</v>
      </c>
      <c r="AB32" t="e">
        <f>AND(#REF!,"AAAAADf//xs=")</f>
        <v>#REF!</v>
      </c>
      <c r="AC32" t="e">
        <f>AND(#REF!,"AAAAADf//xw=")</f>
        <v>#REF!</v>
      </c>
      <c r="AD32" t="e">
        <f>AND(#REF!,"AAAAADf//x0=")</f>
        <v>#REF!</v>
      </c>
      <c r="AE32" t="e">
        <f>AND(#REF!,"AAAAADf//x4=")</f>
        <v>#REF!</v>
      </c>
      <c r="AF32" t="e">
        <f>AND(#REF!,"AAAAADf//x8=")</f>
        <v>#REF!</v>
      </c>
      <c r="AG32" t="e">
        <f>IF(#REF!,"AAAAADf//yA=",0)</f>
        <v>#REF!</v>
      </c>
      <c r="AH32" t="e">
        <f>AND(#REF!,"AAAAADf//yE=")</f>
        <v>#REF!</v>
      </c>
      <c r="AI32" t="e">
        <f>AND(#REF!,"AAAAADf//yI=")</f>
        <v>#REF!</v>
      </c>
      <c r="AJ32" t="e">
        <f>AND(#REF!,"AAAAADf//yM=")</f>
        <v>#REF!</v>
      </c>
      <c r="AK32" t="e">
        <f>AND(#REF!,"AAAAADf//yQ=")</f>
        <v>#REF!</v>
      </c>
      <c r="AL32" t="e">
        <f>AND(#REF!,"AAAAADf//yU=")</f>
        <v>#REF!</v>
      </c>
      <c r="AM32" t="e">
        <f>AND(#REF!,"AAAAADf//yY=")</f>
        <v>#REF!</v>
      </c>
      <c r="AN32" t="e">
        <f>AND(#REF!,"AAAAADf//yc=")</f>
        <v>#REF!</v>
      </c>
      <c r="AO32" t="e">
        <f>AND(#REF!,"AAAAADf//yg=")</f>
        <v>#REF!</v>
      </c>
      <c r="AP32" t="e">
        <f>AND(#REF!,"AAAAADf//yk=")</f>
        <v>#REF!</v>
      </c>
      <c r="AQ32" t="e">
        <f>IF(#REF!,"AAAAADf//yo=",0)</f>
        <v>#REF!</v>
      </c>
      <c r="AR32" t="e">
        <f>AND(#REF!,"AAAAADf//ys=")</f>
        <v>#REF!</v>
      </c>
      <c r="AS32" t="e">
        <f>AND(#REF!,"AAAAADf//yw=")</f>
        <v>#REF!</v>
      </c>
      <c r="AT32" t="e">
        <f>AND(#REF!,"AAAAADf//y0=")</f>
        <v>#REF!</v>
      </c>
      <c r="AU32" t="e">
        <f>AND(#REF!,"AAAAADf//y4=")</f>
        <v>#REF!</v>
      </c>
      <c r="AV32" t="e">
        <f>AND(#REF!,"AAAAADf//y8=")</f>
        <v>#REF!</v>
      </c>
      <c r="AW32" t="e">
        <f>AND(#REF!,"AAAAADf//zA=")</f>
        <v>#REF!</v>
      </c>
      <c r="AX32" t="e">
        <f>AND(#REF!,"AAAAADf//zE=")</f>
        <v>#REF!</v>
      </c>
      <c r="AY32" t="e">
        <f>AND(#REF!,"AAAAADf//zI=")</f>
        <v>#REF!</v>
      </c>
      <c r="AZ32" t="e">
        <f>AND(#REF!,"AAAAADf//zM=")</f>
        <v>#REF!</v>
      </c>
      <c r="BA32" t="e">
        <f>IF(#REF!,"AAAAADf//zQ=",0)</f>
        <v>#REF!</v>
      </c>
      <c r="BB32" t="e">
        <f>AND(#REF!,"AAAAADf//zU=")</f>
        <v>#REF!</v>
      </c>
      <c r="BC32" t="e">
        <f>AND(#REF!,"AAAAADf//zY=")</f>
        <v>#REF!</v>
      </c>
      <c r="BD32" t="e">
        <f>AND(#REF!,"AAAAADf//zc=")</f>
        <v>#REF!</v>
      </c>
      <c r="BE32" t="e">
        <f>AND(#REF!,"AAAAADf//zg=")</f>
        <v>#REF!</v>
      </c>
      <c r="BF32" t="e">
        <f>AND(#REF!,"AAAAADf//zk=")</f>
        <v>#REF!</v>
      </c>
      <c r="BG32" t="e">
        <f>AND(#REF!,"AAAAADf//zo=")</f>
        <v>#REF!</v>
      </c>
      <c r="BH32" t="e">
        <f>AND(#REF!,"AAAAADf//zs=")</f>
        <v>#REF!</v>
      </c>
      <c r="BI32" t="e">
        <f>AND(#REF!,"AAAAADf//zw=")</f>
        <v>#REF!</v>
      </c>
      <c r="BJ32" t="e">
        <f>AND(#REF!,"AAAAADf//z0=")</f>
        <v>#REF!</v>
      </c>
      <c r="BK32" t="e">
        <f>IF(#REF!,"AAAAADf//z4=",0)</f>
        <v>#REF!</v>
      </c>
      <c r="BL32" t="e">
        <f>AND(#REF!,"AAAAADf//z8=")</f>
        <v>#REF!</v>
      </c>
      <c r="BM32" t="e">
        <f>AND(#REF!,"AAAAADf//0A=")</f>
        <v>#REF!</v>
      </c>
      <c r="BN32" t="e">
        <f>AND(#REF!,"AAAAADf//0E=")</f>
        <v>#REF!</v>
      </c>
      <c r="BO32" t="e">
        <f>AND(#REF!,"AAAAADf//0I=")</f>
        <v>#REF!</v>
      </c>
      <c r="BP32" t="e">
        <f>AND(#REF!,"AAAAADf//0M=")</f>
        <v>#REF!</v>
      </c>
      <c r="BQ32" t="e">
        <f>AND(#REF!,"AAAAADf//0Q=")</f>
        <v>#REF!</v>
      </c>
      <c r="BR32" t="e">
        <f>AND(#REF!,"AAAAADf//0U=")</f>
        <v>#REF!</v>
      </c>
      <c r="BS32" t="e">
        <f>AND(#REF!,"AAAAADf//0Y=")</f>
        <v>#REF!</v>
      </c>
      <c r="BT32" t="e">
        <f>AND(#REF!,"AAAAADf//0c=")</f>
        <v>#REF!</v>
      </c>
      <c r="BU32" t="e">
        <f>IF(#REF!,"AAAAADf//0g=",0)</f>
        <v>#REF!</v>
      </c>
      <c r="BV32" t="e">
        <f>AND(#REF!,"AAAAADf//0k=")</f>
        <v>#REF!</v>
      </c>
      <c r="BW32" t="e">
        <f>AND(#REF!,"AAAAADf//0o=")</f>
        <v>#REF!</v>
      </c>
      <c r="BX32" t="e">
        <f>AND(#REF!,"AAAAADf//0s=")</f>
        <v>#REF!</v>
      </c>
      <c r="BY32" t="e">
        <f>AND(#REF!,"AAAAADf//0w=")</f>
        <v>#REF!</v>
      </c>
      <c r="BZ32" t="e">
        <f>AND(#REF!,"AAAAADf//00=")</f>
        <v>#REF!</v>
      </c>
      <c r="CA32" t="e">
        <f>AND(#REF!,"AAAAADf//04=")</f>
        <v>#REF!</v>
      </c>
      <c r="CB32" t="e">
        <f>AND(#REF!,"AAAAADf//08=")</f>
        <v>#REF!</v>
      </c>
      <c r="CC32" t="e">
        <f>AND(#REF!,"AAAAADf//1A=")</f>
        <v>#REF!</v>
      </c>
      <c r="CD32" t="e">
        <f>AND(#REF!,"AAAAADf//1E=")</f>
        <v>#REF!</v>
      </c>
      <c r="CE32" t="e">
        <f>IF(#REF!,"AAAAADf//1I=",0)</f>
        <v>#REF!</v>
      </c>
      <c r="CF32" t="e">
        <f>AND(#REF!,"AAAAADf//1M=")</f>
        <v>#REF!</v>
      </c>
      <c r="CG32" t="e">
        <f>AND(#REF!,"AAAAADf//1Q=")</f>
        <v>#REF!</v>
      </c>
      <c r="CH32" t="e">
        <f>AND(#REF!,"AAAAADf//1U=")</f>
        <v>#REF!</v>
      </c>
      <c r="CI32" t="e">
        <f>AND(#REF!,"AAAAADf//1Y=")</f>
        <v>#REF!</v>
      </c>
      <c r="CJ32" t="e">
        <f>AND(#REF!,"AAAAADf//1c=")</f>
        <v>#REF!</v>
      </c>
      <c r="CK32" t="e">
        <f>AND(#REF!,"AAAAADf//1g=")</f>
        <v>#REF!</v>
      </c>
      <c r="CL32" t="e">
        <f>AND(#REF!,"AAAAADf//1k=")</f>
        <v>#REF!</v>
      </c>
      <c r="CM32" t="e">
        <f>AND(#REF!,"AAAAADf//1o=")</f>
        <v>#REF!</v>
      </c>
      <c r="CN32" t="e">
        <f>AND(#REF!,"AAAAADf//1s=")</f>
        <v>#REF!</v>
      </c>
      <c r="CO32" t="e">
        <f>IF(#REF!,"AAAAADf//1w=",0)</f>
        <v>#REF!</v>
      </c>
      <c r="CP32" t="e">
        <f>AND(#REF!,"AAAAADf//10=")</f>
        <v>#REF!</v>
      </c>
      <c r="CQ32" t="e">
        <f>AND(#REF!,"AAAAADf//14=")</f>
        <v>#REF!</v>
      </c>
      <c r="CR32" t="e">
        <f>AND(#REF!,"AAAAADf//18=")</f>
        <v>#REF!</v>
      </c>
      <c r="CS32" t="e">
        <f>AND(#REF!,"AAAAADf//2A=")</f>
        <v>#REF!</v>
      </c>
      <c r="CT32" t="e">
        <f>AND(#REF!,"AAAAADf//2E=")</f>
        <v>#REF!</v>
      </c>
      <c r="CU32" t="e">
        <f>AND(#REF!,"AAAAADf//2I=")</f>
        <v>#REF!</v>
      </c>
      <c r="CV32" t="e">
        <f>AND(#REF!,"AAAAADf//2M=")</f>
        <v>#REF!</v>
      </c>
      <c r="CW32" t="e">
        <f>AND(#REF!,"AAAAADf//2Q=")</f>
        <v>#REF!</v>
      </c>
      <c r="CX32" t="e">
        <f>AND(#REF!,"AAAAADf//2U=")</f>
        <v>#REF!</v>
      </c>
      <c r="CY32" t="e">
        <f>IF(#REF!,"AAAAADf//2Y=",0)</f>
        <v>#REF!</v>
      </c>
      <c r="CZ32" t="e">
        <f>AND(#REF!,"AAAAADf//2c=")</f>
        <v>#REF!</v>
      </c>
      <c r="DA32" t="e">
        <f>AND(#REF!,"AAAAADf//2g=")</f>
        <v>#REF!</v>
      </c>
      <c r="DB32" t="e">
        <f>AND(#REF!,"AAAAADf//2k=")</f>
        <v>#REF!</v>
      </c>
      <c r="DC32" t="e">
        <f>AND(#REF!,"AAAAADf//2o=")</f>
        <v>#REF!</v>
      </c>
      <c r="DD32" t="e">
        <f>AND(#REF!,"AAAAADf//2s=")</f>
        <v>#REF!</v>
      </c>
      <c r="DE32" t="e">
        <f>AND(#REF!,"AAAAADf//2w=")</f>
        <v>#REF!</v>
      </c>
      <c r="DF32" t="e">
        <f>AND(#REF!,"AAAAADf//20=")</f>
        <v>#REF!</v>
      </c>
      <c r="DG32" t="e">
        <f>AND(#REF!,"AAAAADf//24=")</f>
        <v>#REF!</v>
      </c>
      <c r="DH32" t="e">
        <f>AND(#REF!,"AAAAADf//28=")</f>
        <v>#REF!</v>
      </c>
      <c r="DI32" t="e">
        <f>IF(#REF!,"AAAAADf//3A=",0)</f>
        <v>#REF!</v>
      </c>
      <c r="DJ32" t="e">
        <f>AND(#REF!,"AAAAADf//3E=")</f>
        <v>#REF!</v>
      </c>
      <c r="DK32" t="e">
        <f>AND(#REF!,"AAAAADf//3I=")</f>
        <v>#REF!</v>
      </c>
      <c r="DL32" t="e">
        <f>AND(#REF!,"AAAAADf//3M=")</f>
        <v>#REF!</v>
      </c>
      <c r="DM32" t="e">
        <f>AND(#REF!,"AAAAADf//3Q=")</f>
        <v>#REF!</v>
      </c>
      <c r="DN32" t="e">
        <f>AND(#REF!,"AAAAADf//3U=")</f>
        <v>#REF!</v>
      </c>
      <c r="DO32" t="e">
        <f>AND(#REF!,"AAAAADf//3Y=")</f>
        <v>#REF!</v>
      </c>
      <c r="DP32" t="e">
        <f>AND(#REF!,"AAAAADf//3c=")</f>
        <v>#REF!</v>
      </c>
      <c r="DQ32" t="e">
        <f>AND(#REF!,"AAAAADf//3g=")</f>
        <v>#REF!</v>
      </c>
      <c r="DR32" t="e">
        <f>AND(#REF!,"AAAAADf//3k=")</f>
        <v>#REF!</v>
      </c>
      <c r="DS32" t="e">
        <f>IF(#REF!,"AAAAADf//3o=",0)</f>
        <v>#REF!</v>
      </c>
      <c r="DT32" t="e">
        <f>AND(#REF!,"AAAAADf//3s=")</f>
        <v>#REF!</v>
      </c>
      <c r="DU32" t="e">
        <f>AND(#REF!,"AAAAADf//3w=")</f>
        <v>#REF!</v>
      </c>
      <c r="DV32" t="e">
        <f>AND(#REF!,"AAAAADf//30=")</f>
        <v>#REF!</v>
      </c>
      <c r="DW32" t="e">
        <f>AND(#REF!,"AAAAADf//34=")</f>
        <v>#REF!</v>
      </c>
      <c r="DX32" t="e">
        <f>AND(#REF!,"AAAAADf//38=")</f>
        <v>#REF!</v>
      </c>
      <c r="DY32" t="e">
        <f>AND(#REF!,"AAAAADf//4A=")</f>
        <v>#REF!</v>
      </c>
      <c r="DZ32" t="e">
        <f>AND(#REF!,"AAAAADf//4E=")</f>
        <v>#REF!</v>
      </c>
      <c r="EA32" t="e">
        <f>AND(#REF!,"AAAAADf//4I=")</f>
        <v>#REF!</v>
      </c>
      <c r="EB32" t="e">
        <f>AND(#REF!,"AAAAADf//4M=")</f>
        <v>#REF!</v>
      </c>
      <c r="EC32" t="e">
        <f>IF(#REF!,"AAAAADf//4Q=",0)</f>
        <v>#REF!</v>
      </c>
      <c r="ED32" t="e">
        <f>AND(#REF!,"AAAAADf//4U=")</f>
        <v>#REF!</v>
      </c>
      <c r="EE32" t="e">
        <f>AND(#REF!,"AAAAADf//4Y=")</f>
        <v>#REF!</v>
      </c>
      <c r="EF32" t="e">
        <f>AND(#REF!,"AAAAADf//4c=")</f>
        <v>#REF!</v>
      </c>
      <c r="EG32" t="e">
        <f>AND(#REF!,"AAAAADf//4g=")</f>
        <v>#REF!</v>
      </c>
      <c r="EH32" t="e">
        <f>AND(#REF!,"AAAAADf//4k=")</f>
        <v>#REF!</v>
      </c>
      <c r="EI32" t="e">
        <f>AND(#REF!,"AAAAADf//4o=")</f>
        <v>#REF!</v>
      </c>
      <c r="EJ32" t="e">
        <f>AND(#REF!,"AAAAADf//4s=")</f>
        <v>#REF!</v>
      </c>
      <c r="EK32" t="e">
        <f>AND(#REF!,"AAAAADf//4w=")</f>
        <v>#REF!</v>
      </c>
      <c r="EL32" t="e">
        <f>AND(#REF!,"AAAAADf//40=")</f>
        <v>#REF!</v>
      </c>
      <c r="EM32" t="e">
        <f>IF(#REF!,"AAAAADf//44=",0)</f>
        <v>#REF!</v>
      </c>
      <c r="EN32" t="e">
        <f>AND(#REF!,"AAAAADf//48=")</f>
        <v>#REF!</v>
      </c>
      <c r="EO32" t="e">
        <f>AND(#REF!,"AAAAADf//5A=")</f>
        <v>#REF!</v>
      </c>
      <c r="EP32" t="e">
        <f>AND(#REF!,"AAAAADf//5E=")</f>
        <v>#REF!</v>
      </c>
      <c r="EQ32" t="e">
        <f>AND(#REF!,"AAAAADf//5I=")</f>
        <v>#REF!</v>
      </c>
      <c r="ER32" t="e">
        <f>AND(#REF!,"AAAAADf//5M=")</f>
        <v>#REF!</v>
      </c>
      <c r="ES32" t="e">
        <f>AND(#REF!,"AAAAADf//5Q=")</f>
        <v>#REF!</v>
      </c>
      <c r="ET32" t="e">
        <f>AND(#REF!,"AAAAADf//5U=")</f>
        <v>#REF!</v>
      </c>
      <c r="EU32" t="e">
        <f>AND(#REF!,"AAAAADf//5Y=")</f>
        <v>#REF!</v>
      </c>
      <c r="EV32" t="e">
        <f>AND(#REF!,"AAAAADf//5c=")</f>
        <v>#REF!</v>
      </c>
      <c r="EW32" t="e">
        <f>IF(#REF!,"AAAAADf//5g=",0)</f>
        <v>#REF!</v>
      </c>
      <c r="EX32" t="e">
        <f>AND(#REF!,"AAAAADf//5k=")</f>
        <v>#REF!</v>
      </c>
      <c r="EY32" t="e">
        <f>AND(#REF!,"AAAAADf//5o=")</f>
        <v>#REF!</v>
      </c>
      <c r="EZ32" t="e">
        <f>AND(#REF!,"AAAAADf//5s=")</f>
        <v>#REF!</v>
      </c>
      <c r="FA32" t="e">
        <f>AND(#REF!,"AAAAADf//5w=")</f>
        <v>#REF!</v>
      </c>
      <c r="FB32" t="e">
        <f>AND(#REF!,"AAAAADf//50=")</f>
        <v>#REF!</v>
      </c>
      <c r="FC32" t="e">
        <f>AND(#REF!,"AAAAADf//54=")</f>
        <v>#REF!</v>
      </c>
      <c r="FD32" t="e">
        <f>AND(#REF!,"AAAAADf//58=")</f>
        <v>#REF!</v>
      </c>
      <c r="FE32" t="e">
        <f>AND(#REF!,"AAAAADf//6A=")</f>
        <v>#REF!</v>
      </c>
      <c r="FF32" t="e">
        <f>AND(#REF!,"AAAAADf//6E=")</f>
        <v>#REF!</v>
      </c>
      <c r="FG32" t="e">
        <f>IF(#REF!,"AAAAADf//6I=",0)</f>
        <v>#REF!</v>
      </c>
      <c r="FH32" t="e">
        <f>AND(#REF!,"AAAAADf//6M=")</f>
        <v>#REF!</v>
      </c>
      <c r="FI32" t="e">
        <f>AND(#REF!,"AAAAADf//6Q=")</f>
        <v>#REF!</v>
      </c>
      <c r="FJ32" t="e">
        <f>AND(#REF!,"AAAAADf//6U=")</f>
        <v>#REF!</v>
      </c>
      <c r="FK32" t="e">
        <f>AND(#REF!,"AAAAADf//6Y=")</f>
        <v>#REF!</v>
      </c>
      <c r="FL32" t="e">
        <f>AND(#REF!,"AAAAADf//6c=")</f>
        <v>#REF!</v>
      </c>
      <c r="FM32" t="e">
        <f>AND(#REF!,"AAAAADf//6g=")</f>
        <v>#REF!</v>
      </c>
      <c r="FN32" t="e">
        <f>AND(#REF!,"AAAAADf//6k=")</f>
        <v>#REF!</v>
      </c>
      <c r="FO32" t="e">
        <f>AND(#REF!,"AAAAADf//6o=")</f>
        <v>#REF!</v>
      </c>
      <c r="FP32" t="e">
        <f>AND(#REF!,"AAAAADf//6s=")</f>
        <v>#REF!</v>
      </c>
      <c r="FQ32" t="e">
        <f>IF(#REF!,"AAAAADf//6w=",0)</f>
        <v>#REF!</v>
      </c>
      <c r="FR32" t="e">
        <f>AND(#REF!,"AAAAADf//60=")</f>
        <v>#REF!</v>
      </c>
      <c r="FS32" t="e">
        <f>AND(#REF!,"AAAAADf//64=")</f>
        <v>#REF!</v>
      </c>
      <c r="FT32" t="e">
        <f>AND(#REF!,"AAAAADf//68=")</f>
        <v>#REF!</v>
      </c>
      <c r="FU32" t="e">
        <f>AND(#REF!,"AAAAADf//7A=")</f>
        <v>#REF!</v>
      </c>
      <c r="FV32" t="e">
        <f>AND(#REF!,"AAAAADf//7E=")</f>
        <v>#REF!</v>
      </c>
      <c r="FW32" t="e">
        <f>AND(#REF!,"AAAAADf//7I=")</f>
        <v>#REF!</v>
      </c>
      <c r="FX32" t="e">
        <f>AND(#REF!,"AAAAADf//7M=")</f>
        <v>#REF!</v>
      </c>
      <c r="FY32" t="e">
        <f>AND(#REF!,"AAAAADf//7Q=")</f>
        <v>#REF!</v>
      </c>
      <c r="FZ32" t="e">
        <f>AND(#REF!,"AAAAADf//7U=")</f>
        <v>#REF!</v>
      </c>
      <c r="GA32" t="e">
        <f>IF(#REF!,"AAAAADf//7Y=",0)</f>
        <v>#REF!</v>
      </c>
      <c r="GB32" t="e">
        <f>AND(#REF!,"AAAAADf//7c=")</f>
        <v>#REF!</v>
      </c>
      <c r="GC32" t="e">
        <f>AND(#REF!,"AAAAADf//7g=")</f>
        <v>#REF!</v>
      </c>
      <c r="GD32" t="e">
        <f>AND(#REF!,"AAAAADf//7k=")</f>
        <v>#REF!</v>
      </c>
      <c r="GE32" t="e">
        <f>AND(#REF!,"AAAAADf//7o=")</f>
        <v>#REF!</v>
      </c>
      <c r="GF32" t="e">
        <f>AND(#REF!,"AAAAADf//7s=")</f>
        <v>#REF!</v>
      </c>
      <c r="GG32" t="e">
        <f>AND(#REF!,"AAAAADf//7w=")</f>
        <v>#REF!</v>
      </c>
      <c r="GH32" t="e">
        <f>AND(#REF!,"AAAAADf//70=")</f>
        <v>#REF!</v>
      </c>
      <c r="GI32" t="e">
        <f>AND(#REF!,"AAAAADf//74=")</f>
        <v>#REF!</v>
      </c>
      <c r="GJ32" t="e">
        <f>AND(#REF!,"AAAAADf//78=")</f>
        <v>#REF!</v>
      </c>
      <c r="GK32" t="e">
        <f>IF(#REF!,"AAAAADf//8A=",0)</f>
        <v>#REF!</v>
      </c>
      <c r="GL32" t="e">
        <f>AND(#REF!,"AAAAADf//8E=")</f>
        <v>#REF!</v>
      </c>
      <c r="GM32" t="e">
        <f>AND(#REF!,"AAAAADf//8I=")</f>
        <v>#REF!</v>
      </c>
      <c r="GN32" t="e">
        <f>AND(#REF!,"AAAAADf//8M=")</f>
        <v>#REF!</v>
      </c>
      <c r="GO32" t="e">
        <f>AND(#REF!,"AAAAADf//8Q=")</f>
        <v>#REF!</v>
      </c>
      <c r="GP32" t="e">
        <f>AND(#REF!,"AAAAADf//8U=")</f>
        <v>#REF!</v>
      </c>
      <c r="GQ32" t="e">
        <f>AND(#REF!,"AAAAADf//8Y=")</f>
        <v>#REF!</v>
      </c>
      <c r="GR32" t="e">
        <f>AND(#REF!,"AAAAADf//8c=")</f>
        <v>#REF!</v>
      </c>
      <c r="GS32" t="e">
        <f>AND(#REF!,"AAAAADf//8g=")</f>
        <v>#REF!</v>
      </c>
      <c r="GT32" t="e">
        <f>AND(#REF!,"AAAAADf//8k=")</f>
        <v>#REF!</v>
      </c>
      <c r="GU32" t="e">
        <f>IF(#REF!,"AAAAADf//8o=",0)</f>
        <v>#REF!</v>
      </c>
      <c r="GV32" t="e">
        <f>AND(#REF!,"AAAAADf//8s=")</f>
        <v>#REF!</v>
      </c>
      <c r="GW32" t="e">
        <f>AND(#REF!,"AAAAADf//8w=")</f>
        <v>#REF!</v>
      </c>
      <c r="GX32" t="e">
        <f>AND(#REF!,"AAAAADf//80=")</f>
        <v>#REF!</v>
      </c>
      <c r="GY32" t="e">
        <f>AND(#REF!,"AAAAADf//84=")</f>
        <v>#REF!</v>
      </c>
      <c r="GZ32" t="e">
        <f>AND(#REF!,"AAAAADf//88=")</f>
        <v>#REF!</v>
      </c>
      <c r="HA32" t="e">
        <f>AND(#REF!,"AAAAADf//9A=")</f>
        <v>#REF!</v>
      </c>
      <c r="HB32" t="e">
        <f>AND(#REF!,"AAAAADf//9E=")</f>
        <v>#REF!</v>
      </c>
      <c r="HC32" t="e">
        <f>AND(#REF!,"AAAAADf//9I=")</f>
        <v>#REF!</v>
      </c>
      <c r="HD32" t="e">
        <f>AND(#REF!,"AAAAADf//9M=")</f>
        <v>#REF!</v>
      </c>
      <c r="HE32" t="e">
        <f>IF(#REF!,"AAAAADf//9Q=",0)</f>
        <v>#REF!</v>
      </c>
      <c r="HF32" t="e">
        <f>AND(#REF!,"AAAAADf//9U=")</f>
        <v>#REF!</v>
      </c>
      <c r="HG32" t="e">
        <f>AND(#REF!,"AAAAADf//9Y=")</f>
        <v>#REF!</v>
      </c>
      <c r="HH32" t="e">
        <f>AND(#REF!,"AAAAADf//9c=")</f>
        <v>#REF!</v>
      </c>
      <c r="HI32" t="e">
        <f>AND(#REF!,"AAAAADf//9g=")</f>
        <v>#REF!</v>
      </c>
      <c r="HJ32" t="e">
        <f>AND(#REF!,"AAAAADf//9k=")</f>
        <v>#REF!</v>
      </c>
      <c r="HK32" t="e">
        <f>AND(#REF!,"AAAAADf//9o=")</f>
        <v>#REF!</v>
      </c>
      <c r="HL32" t="e">
        <f>AND(#REF!,"AAAAADf//9s=")</f>
        <v>#REF!</v>
      </c>
      <c r="HM32" t="e">
        <f>AND(#REF!,"AAAAADf//9w=")</f>
        <v>#REF!</v>
      </c>
      <c r="HN32" t="e">
        <f>AND(#REF!,"AAAAADf//90=")</f>
        <v>#REF!</v>
      </c>
      <c r="HO32" t="e">
        <f>IF(#REF!,"AAAAADf//94=",0)</f>
        <v>#REF!</v>
      </c>
      <c r="HP32" t="e">
        <f>IF(#REF!,"AAAAADf//98=",0)</f>
        <v>#REF!</v>
      </c>
      <c r="HQ32" t="e">
        <f>IF(#REF!,"AAAAADf//+A=",0)</f>
        <v>#REF!</v>
      </c>
      <c r="HR32" t="e">
        <f>IF(#REF!,"AAAAADf//+E=",0)</f>
        <v>#REF!</v>
      </c>
      <c r="HS32" t="e">
        <f>IF(#REF!,"AAAAADf//+I=",0)</f>
        <v>#REF!</v>
      </c>
      <c r="HT32" t="e">
        <f>IF(#REF!,"AAAAADf//+M=",0)</f>
        <v>#REF!</v>
      </c>
      <c r="HU32" t="e">
        <f>IF(#REF!,"AAAAADf//+Q=",0)</f>
        <v>#REF!</v>
      </c>
      <c r="HV32" t="e">
        <f>IF(#REF!,"AAAAADf//+U=",0)</f>
        <v>#REF!</v>
      </c>
      <c r="HW32" t="e">
        <f>IF(#REF!,"AAAAADf//+Y=",0)</f>
        <v>#REF!</v>
      </c>
      <c r="HX32" t="e">
        <f>IF(#REF!,"AAAAADf//+c=",0)</f>
        <v>#REF!</v>
      </c>
      <c r="HY32" t="e">
        <f>IF(#REF!,"AAAAADf//+g=",0)</f>
        <v>#REF!</v>
      </c>
      <c r="HZ32" t="e">
        <f>IF(#REF!,"AAAAADf//+k=",0)</f>
        <v>#REF!</v>
      </c>
      <c r="IA32" t="e">
        <f>AND(#REF!,"AAAAADf//+o=")</f>
        <v>#REF!</v>
      </c>
      <c r="IB32" t="e">
        <f>AND(#REF!,"AAAAADf//+s=")</f>
        <v>#REF!</v>
      </c>
      <c r="IC32" t="e">
        <f>AND(#REF!,"AAAAADf//+w=")</f>
        <v>#REF!</v>
      </c>
      <c r="ID32" t="e">
        <f>AND(#REF!,"AAAAADf//+0=")</f>
        <v>#REF!</v>
      </c>
      <c r="IE32" t="e">
        <f>AND(#REF!,"AAAAADf//+4=")</f>
        <v>#REF!</v>
      </c>
      <c r="IF32" t="e">
        <f>AND(#REF!,"AAAAADf//+8=")</f>
        <v>#REF!</v>
      </c>
      <c r="IG32" t="e">
        <f>AND(#REF!,"AAAAADf///A=")</f>
        <v>#REF!</v>
      </c>
      <c r="IH32" t="e">
        <f>AND(#REF!,"AAAAADf///E=")</f>
        <v>#REF!</v>
      </c>
      <c r="II32" t="e">
        <f>AND(#REF!,"AAAAADf///I=")</f>
        <v>#REF!</v>
      </c>
      <c r="IJ32" t="e">
        <f>IF(#REF!,"AAAAADf///M=",0)</f>
        <v>#REF!</v>
      </c>
      <c r="IK32" t="e">
        <f>AND(#REF!,"AAAAADf///Q=")</f>
        <v>#REF!</v>
      </c>
      <c r="IL32" t="e">
        <f>AND(#REF!,"AAAAADf///U=")</f>
        <v>#REF!</v>
      </c>
      <c r="IM32" t="e">
        <f>AND(#REF!,"AAAAADf///Y=")</f>
        <v>#REF!</v>
      </c>
      <c r="IN32" t="e">
        <f>AND(#REF!,"AAAAADf///c=")</f>
        <v>#REF!</v>
      </c>
      <c r="IO32" t="e">
        <f>AND(#REF!,"AAAAADf///g=")</f>
        <v>#REF!</v>
      </c>
      <c r="IP32" t="e">
        <f>AND(#REF!,"AAAAADf///k=")</f>
        <v>#REF!</v>
      </c>
      <c r="IQ32" t="e">
        <f>AND(#REF!,"AAAAADf///o=")</f>
        <v>#REF!</v>
      </c>
      <c r="IR32" t="e">
        <f>AND(#REF!,"AAAAADf///s=")</f>
        <v>#REF!</v>
      </c>
      <c r="IS32" t="e">
        <f>AND(#REF!,"AAAAADf///w=")</f>
        <v>#REF!</v>
      </c>
      <c r="IT32" t="e">
        <f>IF(#REF!,"AAAAADf///0=",0)</f>
        <v>#REF!</v>
      </c>
      <c r="IU32" t="e">
        <f>AND(#REF!,"AAAAADf///4=")</f>
        <v>#REF!</v>
      </c>
      <c r="IV32" t="e">
        <f>AND(#REF!,"AAAAADf///8=")</f>
        <v>#REF!</v>
      </c>
    </row>
    <row r="33" spans="1:256" ht="12.75">
      <c r="A33" t="e">
        <f>AND(#REF!,"AAAAAD+1/wA=")</f>
        <v>#REF!</v>
      </c>
      <c r="B33" t="e">
        <f>AND(#REF!,"AAAAAD+1/wE=")</f>
        <v>#REF!</v>
      </c>
      <c r="C33" t="e">
        <f>AND(#REF!,"AAAAAD+1/wI=")</f>
        <v>#REF!</v>
      </c>
      <c r="D33" t="e">
        <f>AND(#REF!,"AAAAAD+1/wM=")</f>
        <v>#REF!</v>
      </c>
      <c r="E33" t="e">
        <f>AND(#REF!,"AAAAAD+1/wQ=")</f>
        <v>#REF!</v>
      </c>
      <c r="F33" t="e">
        <f>AND(#REF!,"AAAAAD+1/wU=")</f>
        <v>#REF!</v>
      </c>
      <c r="G33" t="e">
        <f>AND(#REF!,"AAAAAD+1/wY=")</f>
        <v>#REF!</v>
      </c>
      <c r="H33" t="e">
        <f>IF(#REF!,"AAAAAD+1/wc=",0)</f>
        <v>#REF!</v>
      </c>
      <c r="I33" t="e">
        <f>AND(#REF!,"AAAAAD+1/wg=")</f>
        <v>#REF!</v>
      </c>
      <c r="J33" t="e">
        <f>AND(#REF!,"AAAAAD+1/wk=")</f>
        <v>#REF!</v>
      </c>
      <c r="K33" t="e">
        <f>AND(#REF!,"AAAAAD+1/wo=")</f>
        <v>#REF!</v>
      </c>
      <c r="L33" t="e">
        <f>AND(#REF!,"AAAAAD+1/ws=")</f>
        <v>#REF!</v>
      </c>
      <c r="M33" t="e">
        <f>AND(#REF!,"AAAAAD+1/ww=")</f>
        <v>#REF!</v>
      </c>
      <c r="N33" t="e">
        <f>AND(#REF!,"AAAAAD+1/w0=")</f>
        <v>#REF!</v>
      </c>
      <c r="O33" t="e">
        <f>AND(#REF!,"AAAAAD+1/w4=")</f>
        <v>#REF!</v>
      </c>
      <c r="P33" t="e">
        <f>AND(#REF!,"AAAAAD+1/w8=")</f>
        <v>#REF!</v>
      </c>
      <c r="Q33" t="e">
        <f>AND(#REF!,"AAAAAD+1/xA=")</f>
        <v>#REF!</v>
      </c>
      <c r="R33" t="e">
        <f>IF(#REF!,"AAAAAD+1/xE=",0)</f>
        <v>#REF!</v>
      </c>
      <c r="S33" t="e">
        <f>AND(#REF!,"AAAAAD+1/xI=")</f>
        <v>#REF!</v>
      </c>
      <c r="T33" t="e">
        <f>AND(#REF!,"AAAAAD+1/xM=")</f>
        <v>#REF!</v>
      </c>
      <c r="U33" t="e">
        <f>AND(#REF!,"AAAAAD+1/xQ=")</f>
        <v>#REF!</v>
      </c>
      <c r="V33" t="e">
        <f>AND(#REF!,"AAAAAD+1/xU=")</f>
        <v>#REF!</v>
      </c>
      <c r="W33" t="e">
        <f>AND(#REF!,"AAAAAD+1/xY=")</f>
        <v>#REF!</v>
      </c>
      <c r="X33" t="e">
        <f>AND(#REF!,"AAAAAD+1/xc=")</f>
        <v>#REF!</v>
      </c>
      <c r="Y33" t="e">
        <f>AND(#REF!,"AAAAAD+1/xg=")</f>
        <v>#REF!</v>
      </c>
      <c r="Z33" t="e">
        <f>AND(#REF!,"AAAAAD+1/xk=")</f>
        <v>#REF!</v>
      </c>
      <c r="AA33" t="e">
        <f>AND(#REF!,"AAAAAD+1/xo=")</f>
        <v>#REF!</v>
      </c>
      <c r="AB33" t="e">
        <f>IF(#REF!,"AAAAAD+1/xs=",0)</f>
        <v>#REF!</v>
      </c>
      <c r="AC33" t="e">
        <f>AND(#REF!,"AAAAAD+1/xw=")</f>
        <v>#REF!</v>
      </c>
      <c r="AD33" t="e">
        <f>AND(#REF!,"AAAAAD+1/x0=")</f>
        <v>#REF!</v>
      </c>
      <c r="AE33" t="e">
        <f>AND(#REF!,"AAAAAD+1/x4=")</f>
        <v>#REF!</v>
      </c>
      <c r="AF33" t="e">
        <f>AND(#REF!,"AAAAAD+1/x8=")</f>
        <v>#REF!</v>
      </c>
      <c r="AG33" t="e">
        <f>AND(#REF!,"AAAAAD+1/yA=")</f>
        <v>#REF!</v>
      </c>
      <c r="AH33" t="e">
        <f>AND(#REF!,"AAAAAD+1/yE=")</f>
        <v>#REF!</v>
      </c>
      <c r="AI33" t="e">
        <f>AND(#REF!,"AAAAAD+1/yI=")</f>
        <v>#REF!</v>
      </c>
      <c r="AJ33" t="e">
        <f>AND(#REF!,"AAAAAD+1/yM=")</f>
        <v>#REF!</v>
      </c>
      <c r="AK33" t="e">
        <f>AND(#REF!,"AAAAAD+1/yQ=")</f>
        <v>#REF!</v>
      </c>
      <c r="AL33" t="e">
        <f>IF(#REF!,"AAAAAD+1/yU=",0)</f>
        <v>#REF!</v>
      </c>
      <c r="AM33" t="e">
        <f>AND(#REF!,"AAAAAD+1/yY=")</f>
        <v>#REF!</v>
      </c>
      <c r="AN33" t="e">
        <f>AND(#REF!,"AAAAAD+1/yc=")</f>
        <v>#REF!</v>
      </c>
      <c r="AO33" t="e">
        <f>AND(#REF!,"AAAAAD+1/yg=")</f>
        <v>#REF!</v>
      </c>
      <c r="AP33" t="e">
        <f>AND(#REF!,"AAAAAD+1/yk=")</f>
        <v>#REF!</v>
      </c>
      <c r="AQ33" t="e">
        <f>AND(#REF!,"AAAAAD+1/yo=")</f>
        <v>#REF!</v>
      </c>
      <c r="AR33" t="e">
        <f>AND(#REF!,"AAAAAD+1/ys=")</f>
        <v>#REF!</v>
      </c>
      <c r="AS33" t="e">
        <f>AND(#REF!,"AAAAAD+1/yw=")</f>
        <v>#REF!</v>
      </c>
      <c r="AT33" t="e">
        <f>AND(#REF!,"AAAAAD+1/y0=")</f>
        <v>#REF!</v>
      </c>
      <c r="AU33" t="e">
        <f>AND(#REF!,"AAAAAD+1/y4=")</f>
        <v>#REF!</v>
      </c>
      <c r="AV33" t="e">
        <f>IF(#REF!,"AAAAAD+1/y8=",0)</f>
        <v>#REF!</v>
      </c>
      <c r="AW33" t="e">
        <f>AND(#REF!,"AAAAAD+1/zA=")</f>
        <v>#REF!</v>
      </c>
      <c r="AX33" t="e">
        <f>AND(#REF!,"AAAAAD+1/zE=")</f>
        <v>#REF!</v>
      </c>
      <c r="AY33" t="e">
        <f>AND(#REF!,"AAAAAD+1/zI=")</f>
        <v>#REF!</v>
      </c>
      <c r="AZ33" t="e">
        <f>AND(#REF!,"AAAAAD+1/zM=")</f>
        <v>#REF!</v>
      </c>
      <c r="BA33" t="e">
        <f>AND(#REF!,"AAAAAD+1/zQ=")</f>
        <v>#REF!</v>
      </c>
      <c r="BB33" t="e">
        <f>AND(#REF!,"AAAAAD+1/zU=")</f>
        <v>#REF!</v>
      </c>
      <c r="BC33" t="e">
        <f>AND(#REF!,"AAAAAD+1/zY=")</f>
        <v>#REF!</v>
      </c>
      <c r="BD33" t="e">
        <f>AND(#REF!,"AAAAAD+1/zc=")</f>
        <v>#REF!</v>
      </c>
      <c r="BE33" t="e">
        <f>AND(#REF!,"AAAAAD+1/zg=")</f>
        <v>#REF!</v>
      </c>
      <c r="BF33" t="e">
        <f>IF(#REF!,"AAAAAD+1/zk=",0)</f>
        <v>#REF!</v>
      </c>
      <c r="BG33" t="e">
        <f>AND(#REF!,"AAAAAD+1/zo=")</f>
        <v>#REF!</v>
      </c>
      <c r="BH33" t="e">
        <f>AND(#REF!,"AAAAAD+1/zs=")</f>
        <v>#REF!</v>
      </c>
      <c r="BI33" t="e">
        <f>AND(#REF!,"AAAAAD+1/zw=")</f>
        <v>#REF!</v>
      </c>
      <c r="BJ33" t="e">
        <f>AND(#REF!,"AAAAAD+1/z0=")</f>
        <v>#REF!</v>
      </c>
      <c r="BK33" t="e">
        <f>AND(#REF!,"AAAAAD+1/z4=")</f>
        <v>#REF!</v>
      </c>
      <c r="BL33" t="e">
        <f>AND(#REF!,"AAAAAD+1/z8=")</f>
        <v>#REF!</v>
      </c>
      <c r="BM33" t="e">
        <f>AND(#REF!,"AAAAAD+1/0A=")</f>
        <v>#REF!</v>
      </c>
      <c r="BN33" t="e">
        <f>AND(#REF!,"AAAAAD+1/0E=")</f>
        <v>#REF!</v>
      </c>
      <c r="BO33" t="e">
        <f>AND(#REF!,"AAAAAD+1/0I=")</f>
        <v>#REF!</v>
      </c>
      <c r="BP33" t="e">
        <f>IF(#REF!,"AAAAAD+1/0M=",0)</f>
        <v>#REF!</v>
      </c>
      <c r="BQ33" t="e">
        <f>AND(#REF!,"AAAAAD+1/0Q=")</f>
        <v>#REF!</v>
      </c>
      <c r="BR33" t="e">
        <f>AND(#REF!,"AAAAAD+1/0U=")</f>
        <v>#REF!</v>
      </c>
      <c r="BS33" t="e">
        <f>AND(#REF!,"AAAAAD+1/0Y=")</f>
        <v>#REF!</v>
      </c>
      <c r="BT33" t="e">
        <f>AND(#REF!,"AAAAAD+1/0c=")</f>
        <v>#REF!</v>
      </c>
      <c r="BU33" t="e">
        <f>AND(#REF!,"AAAAAD+1/0g=")</f>
        <v>#REF!</v>
      </c>
      <c r="BV33" t="e">
        <f>AND(#REF!,"AAAAAD+1/0k=")</f>
        <v>#REF!</v>
      </c>
      <c r="BW33" t="e">
        <f>AND(#REF!,"AAAAAD+1/0o=")</f>
        <v>#REF!</v>
      </c>
      <c r="BX33" t="e">
        <f>AND(#REF!,"AAAAAD+1/0s=")</f>
        <v>#REF!</v>
      </c>
      <c r="BY33" t="e">
        <f>AND(#REF!,"AAAAAD+1/0w=")</f>
        <v>#REF!</v>
      </c>
      <c r="BZ33" t="e">
        <f>IF(#REF!,"AAAAAD+1/00=",0)</f>
        <v>#REF!</v>
      </c>
      <c r="CA33" t="e">
        <f>AND(#REF!,"AAAAAD+1/04=")</f>
        <v>#REF!</v>
      </c>
      <c r="CB33" t="e">
        <f>AND(#REF!,"AAAAAD+1/08=")</f>
        <v>#REF!</v>
      </c>
      <c r="CC33" t="e">
        <f>AND(#REF!,"AAAAAD+1/1A=")</f>
        <v>#REF!</v>
      </c>
      <c r="CD33" t="e">
        <f>AND(#REF!,"AAAAAD+1/1E=")</f>
        <v>#REF!</v>
      </c>
      <c r="CE33" t="e">
        <f>AND(#REF!,"AAAAAD+1/1I=")</f>
        <v>#REF!</v>
      </c>
      <c r="CF33" t="e">
        <f>AND(#REF!,"AAAAAD+1/1M=")</f>
        <v>#REF!</v>
      </c>
      <c r="CG33" t="e">
        <f>AND(#REF!,"AAAAAD+1/1Q=")</f>
        <v>#REF!</v>
      </c>
      <c r="CH33" t="e">
        <f>AND(#REF!,"AAAAAD+1/1U=")</f>
        <v>#REF!</v>
      </c>
      <c r="CI33" t="e">
        <f>AND(#REF!,"AAAAAD+1/1Y=")</f>
        <v>#REF!</v>
      </c>
      <c r="CJ33" t="e">
        <f>IF(#REF!,"AAAAAD+1/1c=",0)</f>
        <v>#REF!</v>
      </c>
      <c r="CK33" t="e">
        <f>AND(#REF!,"AAAAAD+1/1g=")</f>
        <v>#REF!</v>
      </c>
      <c r="CL33" t="e">
        <f>AND(#REF!,"AAAAAD+1/1k=")</f>
        <v>#REF!</v>
      </c>
      <c r="CM33" t="e">
        <f>AND(#REF!,"AAAAAD+1/1o=")</f>
        <v>#REF!</v>
      </c>
      <c r="CN33" t="e">
        <f>AND(#REF!,"AAAAAD+1/1s=")</f>
        <v>#REF!</v>
      </c>
      <c r="CO33" t="e">
        <f>AND(#REF!,"AAAAAD+1/1w=")</f>
        <v>#REF!</v>
      </c>
      <c r="CP33" t="e">
        <f>AND(#REF!,"AAAAAD+1/10=")</f>
        <v>#REF!</v>
      </c>
      <c r="CQ33" t="e">
        <f>AND(#REF!,"AAAAAD+1/14=")</f>
        <v>#REF!</v>
      </c>
      <c r="CR33" t="e">
        <f>AND(#REF!,"AAAAAD+1/18=")</f>
        <v>#REF!</v>
      </c>
      <c r="CS33" t="e">
        <f>AND(#REF!,"AAAAAD+1/2A=")</f>
        <v>#REF!</v>
      </c>
      <c r="CT33" t="e">
        <f>IF(#REF!,"AAAAAD+1/2E=",0)</f>
        <v>#REF!</v>
      </c>
      <c r="CU33" t="e">
        <f>AND(#REF!,"AAAAAD+1/2I=")</f>
        <v>#REF!</v>
      </c>
      <c r="CV33" t="e">
        <f>AND(#REF!,"AAAAAD+1/2M=")</f>
        <v>#REF!</v>
      </c>
      <c r="CW33" t="e">
        <f>AND(#REF!,"AAAAAD+1/2Q=")</f>
        <v>#REF!</v>
      </c>
      <c r="CX33" t="e">
        <f>AND(#REF!,"AAAAAD+1/2U=")</f>
        <v>#REF!</v>
      </c>
      <c r="CY33" t="e">
        <f>AND(#REF!,"AAAAAD+1/2Y=")</f>
        <v>#REF!</v>
      </c>
      <c r="CZ33" t="e">
        <f>AND(#REF!,"AAAAAD+1/2c=")</f>
        <v>#REF!</v>
      </c>
      <c r="DA33" t="e">
        <f>AND(#REF!,"AAAAAD+1/2g=")</f>
        <v>#REF!</v>
      </c>
      <c r="DB33" t="e">
        <f>AND(#REF!,"AAAAAD+1/2k=")</f>
        <v>#REF!</v>
      </c>
      <c r="DC33" t="e">
        <f>AND(#REF!,"AAAAAD+1/2o=")</f>
        <v>#REF!</v>
      </c>
      <c r="DD33" t="e">
        <f>IF(#REF!,"AAAAAD+1/2s=",0)</f>
        <v>#REF!</v>
      </c>
      <c r="DE33" t="e">
        <f>AND(#REF!,"AAAAAD+1/2w=")</f>
        <v>#REF!</v>
      </c>
      <c r="DF33" t="e">
        <f>AND(#REF!,"AAAAAD+1/20=")</f>
        <v>#REF!</v>
      </c>
      <c r="DG33" t="e">
        <f>AND(#REF!,"AAAAAD+1/24=")</f>
        <v>#REF!</v>
      </c>
      <c r="DH33" t="e">
        <f>AND(#REF!,"AAAAAD+1/28=")</f>
        <v>#REF!</v>
      </c>
      <c r="DI33" t="e">
        <f>AND(#REF!,"AAAAAD+1/3A=")</f>
        <v>#REF!</v>
      </c>
      <c r="DJ33" t="e">
        <f>AND(#REF!,"AAAAAD+1/3E=")</f>
        <v>#REF!</v>
      </c>
      <c r="DK33" t="e">
        <f>AND(#REF!,"AAAAAD+1/3I=")</f>
        <v>#REF!</v>
      </c>
      <c r="DL33" t="e">
        <f>AND(#REF!,"AAAAAD+1/3M=")</f>
        <v>#REF!</v>
      </c>
      <c r="DM33" t="e">
        <f>AND(#REF!,"AAAAAD+1/3Q=")</f>
        <v>#REF!</v>
      </c>
      <c r="DN33" t="e">
        <f>IF(#REF!,"AAAAAD+1/3U=",0)</f>
        <v>#REF!</v>
      </c>
      <c r="DO33" t="e">
        <f>AND(#REF!,"AAAAAD+1/3Y=")</f>
        <v>#REF!</v>
      </c>
      <c r="DP33" t="e">
        <f>AND(#REF!,"AAAAAD+1/3c=")</f>
        <v>#REF!</v>
      </c>
      <c r="DQ33" t="e">
        <f>AND(#REF!,"AAAAAD+1/3g=")</f>
        <v>#REF!</v>
      </c>
      <c r="DR33" t="e">
        <f>AND(#REF!,"AAAAAD+1/3k=")</f>
        <v>#REF!</v>
      </c>
      <c r="DS33" t="e">
        <f>AND(#REF!,"AAAAAD+1/3o=")</f>
        <v>#REF!</v>
      </c>
      <c r="DT33" t="e">
        <f>AND(#REF!,"AAAAAD+1/3s=")</f>
        <v>#REF!</v>
      </c>
      <c r="DU33" t="e">
        <f>AND(#REF!,"AAAAAD+1/3w=")</f>
        <v>#REF!</v>
      </c>
      <c r="DV33" t="e">
        <f>AND(#REF!,"AAAAAD+1/30=")</f>
        <v>#REF!</v>
      </c>
      <c r="DW33" t="e">
        <f>AND(#REF!,"AAAAAD+1/34=")</f>
        <v>#REF!</v>
      </c>
      <c r="DX33" t="e">
        <f>IF(#REF!,"AAAAAD+1/38=",0)</f>
        <v>#REF!</v>
      </c>
      <c r="DY33" t="e">
        <f>AND(#REF!,"AAAAAD+1/4A=")</f>
        <v>#REF!</v>
      </c>
      <c r="DZ33" t="e">
        <f>AND(#REF!,"AAAAAD+1/4E=")</f>
        <v>#REF!</v>
      </c>
      <c r="EA33" t="e">
        <f>AND(#REF!,"AAAAAD+1/4I=")</f>
        <v>#REF!</v>
      </c>
      <c r="EB33" t="e">
        <f>AND(#REF!,"AAAAAD+1/4M=")</f>
        <v>#REF!</v>
      </c>
      <c r="EC33" t="e">
        <f>AND(#REF!,"AAAAAD+1/4Q=")</f>
        <v>#REF!</v>
      </c>
      <c r="ED33" t="e">
        <f>AND(#REF!,"AAAAAD+1/4U=")</f>
        <v>#REF!</v>
      </c>
      <c r="EE33" t="e">
        <f>AND(#REF!,"AAAAAD+1/4Y=")</f>
        <v>#REF!</v>
      </c>
      <c r="EF33" t="e">
        <f>AND(#REF!,"AAAAAD+1/4c=")</f>
        <v>#REF!</v>
      </c>
      <c r="EG33" t="e">
        <f>AND(#REF!,"AAAAAD+1/4g=")</f>
        <v>#REF!</v>
      </c>
      <c r="EH33" t="e">
        <f>IF(#REF!,"AAAAAD+1/4k=",0)</f>
        <v>#REF!</v>
      </c>
      <c r="EI33" t="e">
        <f>AND(#REF!,"AAAAAD+1/4o=")</f>
        <v>#REF!</v>
      </c>
      <c r="EJ33" t="e">
        <f>AND(#REF!,"AAAAAD+1/4s=")</f>
        <v>#REF!</v>
      </c>
      <c r="EK33" t="e">
        <f>AND(#REF!,"AAAAAD+1/4w=")</f>
        <v>#REF!</v>
      </c>
      <c r="EL33" t="e">
        <f>AND(#REF!,"AAAAAD+1/40=")</f>
        <v>#REF!</v>
      </c>
      <c r="EM33" t="e">
        <f>AND(#REF!,"AAAAAD+1/44=")</f>
        <v>#REF!</v>
      </c>
      <c r="EN33" t="e">
        <f>AND(#REF!,"AAAAAD+1/48=")</f>
        <v>#REF!</v>
      </c>
      <c r="EO33" t="e">
        <f>AND(#REF!,"AAAAAD+1/5A=")</f>
        <v>#REF!</v>
      </c>
      <c r="EP33" t="e">
        <f>AND(#REF!,"AAAAAD+1/5E=")</f>
        <v>#REF!</v>
      </c>
      <c r="EQ33" t="e">
        <f>AND(#REF!,"AAAAAD+1/5I=")</f>
        <v>#REF!</v>
      </c>
      <c r="ER33" t="e">
        <f>IF(#REF!,"AAAAAD+1/5M=",0)</f>
        <v>#REF!</v>
      </c>
      <c r="ES33" t="e">
        <f>AND(#REF!,"AAAAAD+1/5Q=")</f>
        <v>#REF!</v>
      </c>
      <c r="ET33" t="e">
        <f>AND(#REF!,"AAAAAD+1/5U=")</f>
        <v>#REF!</v>
      </c>
      <c r="EU33" t="e">
        <f>AND(#REF!,"AAAAAD+1/5Y=")</f>
        <v>#REF!</v>
      </c>
      <c r="EV33" t="e">
        <f>AND(#REF!,"AAAAAD+1/5c=")</f>
        <v>#REF!</v>
      </c>
      <c r="EW33" t="e">
        <f>AND(#REF!,"AAAAAD+1/5g=")</f>
        <v>#REF!</v>
      </c>
      <c r="EX33" t="e">
        <f>AND(#REF!,"AAAAAD+1/5k=")</f>
        <v>#REF!</v>
      </c>
      <c r="EY33" t="e">
        <f>AND(#REF!,"AAAAAD+1/5o=")</f>
        <v>#REF!</v>
      </c>
      <c r="EZ33" t="e">
        <f>AND(#REF!,"AAAAAD+1/5s=")</f>
        <v>#REF!</v>
      </c>
      <c r="FA33" t="e">
        <f>AND(#REF!,"AAAAAD+1/5w=")</f>
        <v>#REF!</v>
      </c>
      <c r="FB33" t="e">
        <f>IF(#REF!,"AAAAAD+1/50=",0)</f>
        <v>#REF!</v>
      </c>
      <c r="FC33" t="e">
        <f>AND(#REF!,"AAAAAD+1/54=")</f>
        <v>#REF!</v>
      </c>
      <c r="FD33" t="e">
        <f>AND(#REF!,"AAAAAD+1/58=")</f>
        <v>#REF!</v>
      </c>
      <c r="FE33" t="e">
        <f>AND(#REF!,"AAAAAD+1/6A=")</f>
        <v>#REF!</v>
      </c>
      <c r="FF33" t="e">
        <f>AND(#REF!,"AAAAAD+1/6E=")</f>
        <v>#REF!</v>
      </c>
      <c r="FG33" t="e">
        <f>AND(#REF!,"AAAAAD+1/6I=")</f>
        <v>#REF!</v>
      </c>
      <c r="FH33" t="e">
        <f>AND(#REF!,"AAAAAD+1/6M=")</f>
        <v>#REF!</v>
      </c>
      <c r="FI33" t="e">
        <f>AND(#REF!,"AAAAAD+1/6Q=")</f>
        <v>#REF!</v>
      </c>
      <c r="FJ33" t="e">
        <f>AND(#REF!,"AAAAAD+1/6U=")</f>
        <v>#REF!</v>
      </c>
      <c r="FK33" t="e">
        <f>AND(#REF!,"AAAAAD+1/6Y=")</f>
        <v>#REF!</v>
      </c>
      <c r="FL33" t="e">
        <f>IF(#REF!,"AAAAAD+1/6c=",0)</f>
        <v>#REF!</v>
      </c>
      <c r="FM33" t="e">
        <f>IF(#REF!,"AAAAAD+1/6g=",0)</f>
        <v>#REF!</v>
      </c>
      <c r="FN33" t="e">
        <f>IF(#REF!,"AAAAAD+1/6k=",0)</f>
        <v>#REF!</v>
      </c>
      <c r="FO33" t="e">
        <f>IF(#REF!,"AAAAAD+1/6o=",0)</f>
        <v>#REF!</v>
      </c>
      <c r="FP33" t="e">
        <f>IF(#REF!,"AAAAAD+1/6s=",0)</f>
        <v>#REF!</v>
      </c>
      <c r="FQ33" t="e">
        <f>IF(#REF!,"AAAAAD+1/6w=",0)</f>
        <v>#REF!</v>
      </c>
      <c r="FR33" t="e">
        <f>IF(#REF!,"AAAAAD+1/60=",0)</f>
        <v>#REF!</v>
      </c>
      <c r="FS33" t="e">
        <f>IF(#REF!,"AAAAAD+1/64=",0)</f>
        <v>#REF!</v>
      </c>
      <c r="FT33" t="e">
        <f>IF(#REF!,"AAAAAD+1/68=",0)</f>
        <v>#REF!</v>
      </c>
      <c r="FU33" t="e">
        <f>IF(#REF!,"AAAAAD+1/7A=",0)</f>
        <v>#REF!</v>
      </c>
      <c r="FV33" t="e">
        <f>IF(#REF!,"AAAAAD+1/7E=",0)</f>
        <v>#REF!</v>
      </c>
      <c r="FW33" t="e">
        <f>IF(#REF!,"AAAAAD+1/7I=",0)</f>
        <v>#REF!</v>
      </c>
      <c r="FX33" t="e">
        <f>IF(#REF!,"AAAAAD+1/7M=",0)</f>
        <v>#REF!</v>
      </c>
      <c r="FY33" t="e">
        <f>IF(#REF!,"AAAAAD+1/7Q=",0)</f>
        <v>#REF!</v>
      </c>
      <c r="FZ33" t="e">
        <f>AND(#REF!,"AAAAAD+1/7U=")</f>
        <v>#REF!</v>
      </c>
      <c r="GA33" t="e">
        <f>AND(#REF!,"AAAAAD+1/7Y=")</f>
        <v>#REF!</v>
      </c>
      <c r="GB33" t="e">
        <f>AND(#REF!,"AAAAAD+1/7c=")</f>
        <v>#REF!</v>
      </c>
      <c r="GC33" t="e">
        <f>AND(#REF!,"AAAAAD+1/7g=")</f>
        <v>#REF!</v>
      </c>
      <c r="GD33" t="e">
        <f>AND(#REF!,"AAAAAD+1/7k=")</f>
        <v>#REF!</v>
      </c>
      <c r="GE33" t="e">
        <f>AND(#REF!,"AAAAAD+1/7o=")</f>
        <v>#REF!</v>
      </c>
      <c r="GF33" t="e">
        <f>AND(#REF!,"AAAAAD+1/7s=")</f>
        <v>#REF!</v>
      </c>
      <c r="GG33" t="e">
        <f>AND(#REF!,"AAAAAD+1/7w=")</f>
        <v>#REF!</v>
      </c>
      <c r="GH33" t="e">
        <f>AND(#REF!,"AAAAAD+1/70=")</f>
        <v>#REF!</v>
      </c>
      <c r="GI33" t="e">
        <f>IF(#REF!,"AAAAAD+1/74=",0)</f>
        <v>#REF!</v>
      </c>
      <c r="GJ33" t="e">
        <f>AND(#REF!,"AAAAAD+1/78=")</f>
        <v>#REF!</v>
      </c>
      <c r="GK33" t="e">
        <f>AND(#REF!,"AAAAAD+1/8A=")</f>
        <v>#REF!</v>
      </c>
      <c r="GL33" t="e">
        <f>AND(#REF!,"AAAAAD+1/8E=")</f>
        <v>#REF!</v>
      </c>
      <c r="GM33" t="e">
        <f>AND(#REF!,"AAAAAD+1/8I=")</f>
        <v>#REF!</v>
      </c>
      <c r="GN33" t="e">
        <f>AND(#REF!,"AAAAAD+1/8M=")</f>
        <v>#REF!</v>
      </c>
      <c r="GO33" t="e">
        <f>AND(#REF!,"AAAAAD+1/8Q=")</f>
        <v>#REF!</v>
      </c>
      <c r="GP33" t="e">
        <f>AND(#REF!,"AAAAAD+1/8U=")</f>
        <v>#REF!</v>
      </c>
      <c r="GQ33" t="e">
        <f>AND(#REF!,"AAAAAD+1/8Y=")</f>
        <v>#REF!</v>
      </c>
      <c r="GR33" t="e">
        <f>AND(#REF!,"AAAAAD+1/8c=")</f>
        <v>#REF!</v>
      </c>
      <c r="GS33" t="e">
        <f>IF(#REF!,"AAAAAD+1/8g=",0)</f>
        <v>#REF!</v>
      </c>
      <c r="GT33" t="e">
        <f>AND(#REF!,"AAAAAD+1/8k=")</f>
        <v>#REF!</v>
      </c>
      <c r="GU33" t="e">
        <f>AND(#REF!,"AAAAAD+1/8o=")</f>
        <v>#REF!</v>
      </c>
      <c r="GV33" t="e">
        <f>AND(#REF!,"AAAAAD+1/8s=")</f>
        <v>#REF!</v>
      </c>
      <c r="GW33" t="e">
        <f>AND(#REF!,"AAAAAD+1/8w=")</f>
        <v>#REF!</v>
      </c>
      <c r="GX33" t="e">
        <f>AND(#REF!,"AAAAAD+1/80=")</f>
        <v>#REF!</v>
      </c>
      <c r="GY33" t="e">
        <f>AND(#REF!,"AAAAAD+1/84=")</f>
        <v>#REF!</v>
      </c>
      <c r="GZ33" t="e">
        <f>AND(#REF!,"AAAAAD+1/88=")</f>
        <v>#REF!</v>
      </c>
      <c r="HA33" t="e">
        <f>AND(#REF!,"AAAAAD+1/9A=")</f>
        <v>#REF!</v>
      </c>
      <c r="HB33" t="e">
        <f>AND(#REF!,"AAAAAD+1/9E=")</f>
        <v>#REF!</v>
      </c>
      <c r="HC33" t="e">
        <f>IF(#REF!,"AAAAAD+1/9I=",0)</f>
        <v>#REF!</v>
      </c>
      <c r="HD33" t="e">
        <f>AND(#REF!,"AAAAAD+1/9M=")</f>
        <v>#REF!</v>
      </c>
      <c r="HE33" t="e">
        <f>AND(#REF!,"AAAAAD+1/9Q=")</f>
        <v>#REF!</v>
      </c>
      <c r="HF33" t="e">
        <f>AND(#REF!,"AAAAAD+1/9U=")</f>
        <v>#REF!</v>
      </c>
      <c r="HG33" t="e">
        <f>AND(#REF!,"AAAAAD+1/9Y=")</f>
        <v>#REF!</v>
      </c>
      <c r="HH33" t="e">
        <f>AND(#REF!,"AAAAAD+1/9c=")</f>
        <v>#REF!</v>
      </c>
      <c r="HI33" t="e">
        <f>AND(#REF!,"AAAAAD+1/9g=")</f>
        <v>#REF!</v>
      </c>
      <c r="HJ33" t="e">
        <f>AND(#REF!,"AAAAAD+1/9k=")</f>
        <v>#REF!</v>
      </c>
      <c r="HK33" t="e">
        <f>AND(#REF!,"AAAAAD+1/9o=")</f>
        <v>#REF!</v>
      </c>
      <c r="HL33" t="e">
        <f>AND(#REF!,"AAAAAD+1/9s=")</f>
        <v>#REF!</v>
      </c>
      <c r="HM33" t="e">
        <f>IF(#REF!,"AAAAAD+1/9w=",0)</f>
        <v>#REF!</v>
      </c>
      <c r="HN33" t="e">
        <f>AND(#REF!,"AAAAAD+1/90=")</f>
        <v>#REF!</v>
      </c>
      <c r="HO33" t="e">
        <f>AND(#REF!,"AAAAAD+1/94=")</f>
        <v>#REF!</v>
      </c>
      <c r="HP33" t="e">
        <f>AND(#REF!,"AAAAAD+1/98=")</f>
        <v>#REF!</v>
      </c>
      <c r="HQ33" t="e">
        <f>AND(#REF!,"AAAAAD+1/+A=")</f>
        <v>#REF!</v>
      </c>
      <c r="HR33" t="e">
        <f>AND(#REF!,"AAAAAD+1/+E=")</f>
        <v>#REF!</v>
      </c>
      <c r="HS33" t="e">
        <f>AND(#REF!,"AAAAAD+1/+I=")</f>
        <v>#REF!</v>
      </c>
      <c r="HT33" t="e">
        <f>AND(#REF!,"AAAAAD+1/+M=")</f>
        <v>#REF!</v>
      </c>
      <c r="HU33" t="e">
        <f>AND(#REF!,"AAAAAD+1/+Q=")</f>
        <v>#REF!</v>
      </c>
      <c r="HV33" t="e">
        <f>AND(#REF!,"AAAAAD+1/+U=")</f>
        <v>#REF!</v>
      </c>
      <c r="HW33" t="e">
        <f>IF(#REF!,"AAAAAD+1/+Y=",0)</f>
        <v>#REF!</v>
      </c>
      <c r="HX33" t="e">
        <f>AND(#REF!,"AAAAAD+1/+c=")</f>
        <v>#REF!</v>
      </c>
      <c r="HY33" t="e">
        <f>AND(#REF!,"AAAAAD+1/+g=")</f>
        <v>#REF!</v>
      </c>
      <c r="HZ33" t="e">
        <f>AND(#REF!,"AAAAAD+1/+k=")</f>
        <v>#REF!</v>
      </c>
      <c r="IA33" t="e">
        <f>AND(#REF!,"AAAAAD+1/+o=")</f>
        <v>#REF!</v>
      </c>
      <c r="IB33" t="e">
        <f>AND(#REF!,"AAAAAD+1/+s=")</f>
        <v>#REF!</v>
      </c>
      <c r="IC33" t="e">
        <f>AND(#REF!,"AAAAAD+1/+w=")</f>
        <v>#REF!</v>
      </c>
      <c r="ID33" t="e">
        <f>AND(#REF!,"AAAAAD+1/+0=")</f>
        <v>#REF!</v>
      </c>
      <c r="IE33" t="e">
        <f>AND(#REF!,"AAAAAD+1/+4=")</f>
        <v>#REF!</v>
      </c>
      <c r="IF33" t="e">
        <f>AND(#REF!,"AAAAAD+1/+8=")</f>
        <v>#REF!</v>
      </c>
      <c r="IG33" t="e">
        <f>IF(#REF!,"AAAAAD+1//A=",0)</f>
        <v>#REF!</v>
      </c>
      <c r="IH33" t="e">
        <f>AND(#REF!,"AAAAAD+1//E=")</f>
        <v>#REF!</v>
      </c>
      <c r="II33" t="e">
        <f>AND(#REF!,"AAAAAD+1//I=")</f>
        <v>#REF!</v>
      </c>
      <c r="IJ33" t="e">
        <f>AND(#REF!,"AAAAAD+1//M=")</f>
        <v>#REF!</v>
      </c>
      <c r="IK33" t="e">
        <f>AND(#REF!,"AAAAAD+1//Q=")</f>
        <v>#REF!</v>
      </c>
      <c r="IL33" t="e">
        <f>AND(#REF!,"AAAAAD+1//U=")</f>
        <v>#REF!</v>
      </c>
      <c r="IM33" t="e">
        <f>AND(#REF!,"AAAAAD+1//Y=")</f>
        <v>#REF!</v>
      </c>
      <c r="IN33" t="e">
        <f>AND(#REF!,"AAAAAD+1//c=")</f>
        <v>#REF!</v>
      </c>
      <c r="IO33" t="e">
        <f>AND(#REF!,"AAAAAD+1//g=")</f>
        <v>#REF!</v>
      </c>
      <c r="IP33" t="e">
        <f>AND(#REF!,"AAAAAD+1//k=")</f>
        <v>#REF!</v>
      </c>
      <c r="IQ33" t="e">
        <f>IF(#REF!,"AAAAAD+1//o=",0)</f>
        <v>#REF!</v>
      </c>
      <c r="IR33" t="e">
        <f>AND(#REF!,"AAAAAD+1//s=")</f>
        <v>#REF!</v>
      </c>
      <c r="IS33" t="e">
        <f>AND(#REF!,"AAAAAD+1//w=")</f>
        <v>#REF!</v>
      </c>
      <c r="IT33" t="e">
        <f>AND(#REF!,"AAAAAD+1//0=")</f>
        <v>#REF!</v>
      </c>
      <c r="IU33" t="e">
        <f>AND(#REF!,"AAAAAD+1//4=")</f>
        <v>#REF!</v>
      </c>
      <c r="IV33" t="e">
        <f>AND(#REF!,"AAAAAD+1//8=")</f>
        <v>#REF!</v>
      </c>
    </row>
    <row r="34" spans="1:256" ht="12.75">
      <c r="A34" t="e">
        <f>AND(#REF!,"AAAAAF6r+wA=")</f>
        <v>#REF!</v>
      </c>
      <c r="B34" t="e">
        <f>AND(#REF!,"AAAAAF6r+wE=")</f>
        <v>#REF!</v>
      </c>
      <c r="C34" t="e">
        <f>AND(#REF!,"AAAAAF6r+wI=")</f>
        <v>#REF!</v>
      </c>
      <c r="D34" t="e">
        <f>AND(#REF!,"AAAAAF6r+wM=")</f>
        <v>#REF!</v>
      </c>
      <c r="E34" t="e">
        <f>IF(#REF!,"AAAAAF6r+wQ=",0)</f>
        <v>#REF!</v>
      </c>
      <c r="F34" t="e">
        <f>AND(#REF!,"AAAAAF6r+wU=")</f>
        <v>#REF!</v>
      </c>
      <c r="G34" t="e">
        <f>AND(#REF!,"AAAAAF6r+wY=")</f>
        <v>#REF!</v>
      </c>
      <c r="H34" t="e">
        <f>AND(#REF!,"AAAAAF6r+wc=")</f>
        <v>#REF!</v>
      </c>
      <c r="I34" t="e">
        <f>AND(#REF!,"AAAAAF6r+wg=")</f>
        <v>#REF!</v>
      </c>
      <c r="J34" t="e">
        <f>AND(#REF!,"AAAAAF6r+wk=")</f>
        <v>#REF!</v>
      </c>
      <c r="K34" t="e">
        <f>AND(#REF!,"AAAAAF6r+wo=")</f>
        <v>#REF!</v>
      </c>
      <c r="L34" t="e">
        <f>AND(#REF!,"AAAAAF6r+ws=")</f>
        <v>#REF!</v>
      </c>
      <c r="M34" t="e">
        <f>AND(#REF!,"AAAAAF6r+ww=")</f>
        <v>#REF!</v>
      </c>
      <c r="N34" t="e">
        <f>AND(#REF!,"AAAAAF6r+w0=")</f>
        <v>#REF!</v>
      </c>
      <c r="O34" t="e">
        <f>IF(#REF!,"AAAAAF6r+w4=",0)</f>
        <v>#REF!</v>
      </c>
      <c r="P34" t="e">
        <f>AND(#REF!,"AAAAAF6r+w8=")</f>
        <v>#REF!</v>
      </c>
      <c r="Q34" t="e">
        <f>AND(#REF!,"AAAAAF6r+xA=")</f>
        <v>#REF!</v>
      </c>
      <c r="R34" t="e">
        <f>AND(#REF!,"AAAAAF6r+xE=")</f>
        <v>#REF!</v>
      </c>
      <c r="S34" t="e">
        <f>AND(#REF!,"AAAAAF6r+xI=")</f>
        <v>#REF!</v>
      </c>
      <c r="T34" t="e">
        <f>AND(#REF!,"AAAAAF6r+xM=")</f>
        <v>#REF!</v>
      </c>
      <c r="U34" t="e">
        <f>AND(#REF!,"AAAAAF6r+xQ=")</f>
        <v>#REF!</v>
      </c>
      <c r="V34" t="e">
        <f>AND(#REF!,"AAAAAF6r+xU=")</f>
        <v>#REF!</v>
      </c>
      <c r="W34" t="e">
        <f>AND(#REF!,"AAAAAF6r+xY=")</f>
        <v>#REF!</v>
      </c>
      <c r="X34" t="e">
        <f>AND(#REF!,"AAAAAF6r+xc=")</f>
        <v>#REF!</v>
      </c>
      <c r="Y34" t="e">
        <f>IF(#REF!,"AAAAAF6r+xg=",0)</f>
        <v>#REF!</v>
      </c>
      <c r="Z34" t="e">
        <f>AND(#REF!,"AAAAAF6r+xk=")</f>
        <v>#REF!</v>
      </c>
      <c r="AA34" t="e">
        <f>AND(#REF!,"AAAAAF6r+xo=")</f>
        <v>#REF!</v>
      </c>
      <c r="AB34" t="e">
        <f>AND(#REF!,"AAAAAF6r+xs=")</f>
        <v>#REF!</v>
      </c>
      <c r="AC34" t="e">
        <f>AND(#REF!,"AAAAAF6r+xw=")</f>
        <v>#REF!</v>
      </c>
      <c r="AD34" t="e">
        <f>AND(#REF!,"AAAAAF6r+x0=")</f>
        <v>#REF!</v>
      </c>
      <c r="AE34" t="e">
        <f>AND(#REF!,"AAAAAF6r+x4=")</f>
        <v>#REF!</v>
      </c>
      <c r="AF34" t="e">
        <f>AND(#REF!,"AAAAAF6r+x8=")</f>
        <v>#REF!</v>
      </c>
      <c r="AG34" t="e">
        <f>AND(#REF!,"AAAAAF6r+yA=")</f>
        <v>#REF!</v>
      </c>
      <c r="AH34" t="e">
        <f>AND(#REF!,"AAAAAF6r+yE=")</f>
        <v>#REF!</v>
      </c>
      <c r="AI34" t="e">
        <f>IF(#REF!,"AAAAAF6r+yI=",0)</f>
        <v>#REF!</v>
      </c>
      <c r="AJ34" t="e">
        <f>AND(#REF!,"AAAAAF6r+yM=")</f>
        <v>#REF!</v>
      </c>
      <c r="AK34" t="e">
        <f>AND(#REF!,"AAAAAF6r+yQ=")</f>
        <v>#REF!</v>
      </c>
      <c r="AL34" t="e">
        <f>AND(#REF!,"AAAAAF6r+yU=")</f>
        <v>#REF!</v>
      </c>
      <c r="AM34" t="e">
        <f>AND(#REF!,"AAAAAF6r+yY=")</f>
        <v>#REF!</v>
      </c>
      <c r="AN34" t="e">
        <f>AND(#REF!,"AAAAAF6r+yc=")</f>
        <v>#REF!</v>
      </c>
      <c r="AO34" t="e">
        <f>AND(#REF!,"AAAAAF6r+yg=")</f>
        <v>#REF!</v>
      </c>
      <c r="AP34" t="e">
        <f>AND(#REF!,"AAAAAF6r+yk=")</f>
        <v>#REF!</v>
      </c>
      <c r="AQ34" t="e">
        <f>AND(#REF!,"AAAAAF6r+yo=")</f>
        <v>#REF!</v>
      </c>
      <c r="AR34" t="e">
        <f>AND(#REF!,"AAAAAF6r+ys=")</f>
        <v>#REF!</v>
      </c>
      <c r="AS34" t="e">
        <f>IF(#REF!,"AAAAAF6r+yw=",0)</f>
        <v>#REF!</v>
      </c>
      <c r="AT34" t="e">
        <f>AND(#REF!,"AAAAAF6r+y0=")</f>
        <v>#REF!</v>
      </c>
      <c r="AU34" t="e">
        <f>AND(#REF!,"AAAAAF6r+y4=")</f>
        <v>#REF!</v>
      </c>
      <c r="AV34" t="e">
        <f>AND(#REF!,"AAAAAF6r+y8=")</f>
        <v>#REF!</v>
      </c>
      <c r="AW34" t="e">
        <f>AND(#REF!,"AAAAAF6r+zA=")</f>
        <v>#REF!</v>
      </c>
      <c r="AX34" t="e">
        <f>AND(#REF!,"AAAAAF6r+zE=")</f>
        <v>#REF!</v>
      </c>
      <c r="AY34" t="e">
        <f>AND(#REF!,"AAAAAF6r+zI=")</f>
        <v>#REF!</v>
      </c>
      <c r="AZ34" t="e">
        <f>AND(#REF!,"AAAAAF6r+zM=")</f>
        <v>#REF!</v>
      </c>
      <c r="BA34" t="e">
        <f>AND(#REF!,"AAAAAF6r+zQ=")</f>
        <v>#REF!</v>
      </c>
      <c r="BB34" t="e">
        <f>AND(#REF!,"AAAAAF6r+zU=")</f>
        <v>#REF!</v>
      </c>
      <c r="BC34" t="e">
        <f>IF(#REF!,"AAAAAF6r+zY=",0)</f>
        <v>#REF!</v>
      </c>
      <c r="BD34" t="e">
        <f>AND(#REF!,"AAAAAF6r+zc=")</f>
        <v>#REF!</v>
      </c>
      <c r="BE34" t="e">
        <f>AND(#REF!,"AAAAAF6r+zg=")</f>
        <v>#REF!</v>
      </c>
      <c r="BF34" t="e">
        <f>AND(#REF!,"AAAAAF6r+zk=")</f>
        <v>#REF!</v>
      </c>
      <c r="BG34" t="e">
        <f>AND(#REF!,"AAAAAF6r+zo=")</f>
        <v>#REF!</v>
      </c>
      <c r="BH34" t="e">
        <f>AND(#REF!,"AAAAAF6r+zs=")</f>
        <v>#REF!</v>
      </c>
      <c r="BI34" t="e">
        <f>AND(#REF!,"AAAAAF6r+zw=")</f>
        <v>#REF!</v>
      </c>
      <c r="BJ34" t="e">
        <f>AND(#REF!,"AAAAAF6r+z0=")</f>
        <v>#REF!</v>
      </c>
      <c r="BK34" t="e">
        <f>AND(#REF!,"AAAAAF6r+z4=")</f>
        <v>#REF!</v>
      </c>
      <c r="BL34" t="e">
        <f>AND(#REF!,"AAAAAF6r+z8=")</f>
        <v>#REF!</v>
      </c>
      <c r="BM34" t="e">
        <f>IF(#REF!,"AAAAAF6r+0A=",0)</f>
        <v>#REF!</v>
      </c>
      <c r="BN34" t="e">
        <f>AND(#REF!,"AAAAAF6r+0E=")</f>
        <v>#REF!</v>
      </c>
      <c r="BO34" t="e">
        <f>AND(#REF!,"AAAAAF6r+0I=")</f>
        <v>#REF!</v>
      </c>
      <c r="BP34" t="e">
        <f>AND(#REF!,"AAAAAF6r+0M=")</f>
        <v>#REF!</v>
      </c>
      <c r="BQ34" t="e">
        <f>AND(#REF!,"AAAAAF6r+0Q=")</f>
        <v>#REF!</v>
      </c>
      <c r="BR34" t="e">
        <f>AND(#REF!,"AAAAAF6r+0U=")</f>
        <v>#REF!</v>
      </c>
      <c r="BS34" t="e">
        <f>AND(#REF!,"AAAAAF6r+0Y=")</f>
        <v>#REF!</v>
      </c>
      <c r="BT34" t="e">
        <f>AND(#REF!,"AAAAAF6r+0c=")</f>
        <v>#REF!</v>
      </c>
      <c r="BU34" t="e">
        <f>AND(#REF!,"AAAAAF6r+0g=")</f>
        <v>#REF!</v>
      </c>
      <c r="BV34" t="e">
        <f>AND(#REF!,"AAAAAF6r+0k=")</f>
        <v>#REF!</v>
      </c>
      <c r="BW34" t="e">
        <f>IF(#REF!,"AAAAAF6r+0o=",0)</f>
        <v>#REF!</v>
      </c>
      <c r="BX34" t="e">
        <f>AND(#REF!,"AAAAAF6r+0s=")</f>
        <v>#REF!</v>
      </c>
      <c r="BY34" t="e">
        <f>AND(#REF!,"AAAAAF6r+0w=")</f>
        <v>#REF!</v>
      </c>
      <c r="BZ34" t="e">
        <f>AND(#REF!,"AAAAAF6r+00=")</f>
        <v>#REF!</v>
      </c>
      <c r="CA34" t="e">
        <f>AND(#REF!,"AAAAAF6r+04=")</f>
        <v>#REF!</v>
      </c>
      <c r="CB34" t="e">
        <f>AND(#REF!,"AAAAAF6r+08=")</f>
        <v>#REF!</v>
      </c>
      <c r="CC34" t="e">
        <f>AND(#REF!,"AAAAAF6r+1A=")</f>
        <v>#REF!</v>
      </c>
      <c r="CD34" t="e">
        <f>AND(#REF!,"AAAAAF6r+1E=")</f>
        <v>#REF!</v>
      </c>
      <c r="CE34" t="e">
        <f>AND(#REF!,"AAAAAF6r+1I=")</f>
        <v>#REF!</v>
      </c>
      <c r="CF34" t="e">
        <f>AND(#REF!,"AAAAAF6r+1M=")</f>
        <v>#REF!</v>
      </c>
      <c r="CG34" t="e">
        <f>IF(#REF!,"AAAAAF6r+1Q=",0)</f>
        <v>#REF!</v>
      </c>
      <c r="CH34" t="e">
        <f>IF(#REF!,"AAAAAF6r+1U=",0)</f>
        <v>#REF!</v>
      </c>
      <c r="CI34" t="e">
        <f>IF(#REF!,"AAAAAF6r+1Y=",0)</f>
        <v>#REF!</v>
      </c>
      <c r="CJ34" t="e">
        <f>IF(#REF!,"AAAAAF6r+1c=",0)</f>
        <v>#REF!</v>
      </c>
      <c r="CK34" t="e">
        <f>IF(#REF!,"AAAAAF6r+1g=",0)</f>
        <v>#REF!</v>
      </c>
      <c r="CL34" t="e">
        <f>IF(#REF!,"AAAAAF6r+1k=",0)</f>
        <v>#REF!</v>
      </c>
      <c r="CM34" t="e">
        <f>IF(#REF!,"AAAAAF6r+1o=",0)</f>
        <v>#REF!</v>
      </c>
      <c r="CN34" t="e">
        <f>IF(#REF!,"AAAAAF6r+1s=",0)</f>
        <v>#REF!</v>
      </c>
      <c r="CO34" t="e">
        <f>IF(#REF!,"AAAAAF6r+1w=",0)</f>
        <v>#REF!</v>
      </c>
      <c r="CP34" t="e">
        <f>IF(#REF!,"AAAAAF6r+10=",0)</f>
        <v>#REF!</v>
      </c>
      <c r="CQ34" t="e">
        <f>IF(#REF!,"AAAAAF6r+14=",0)</f>
        <v>#REF!</v>
      </c>
      <c r="CR34" t="e">
        <f>IF(#REF!,"AAAAAF6r+18=",0)</f>
        <v>#REF!</v>
      </c>
      <c r="CS34" t="e">
        <f>IF(#REF!,"AAAAAF6r+2A=",0)</f>
        <v>#REF!</v>
      </c>
      <c r="CT34" t="e">
        <f>IF(#REF!,"AAAAAF6r+2E=",0)</f>
        <v>#REF!</v>
      </c>
      <c r="CU34" t="e">
        <f>AND(#REF!,"AAAAAF6r+2I=")</f>
        <v>#REF!</v>
      </c>
      <c r="CV34" t="e">
        <f>AND(#REF!,"AAAAAF6r+2M=")</f>
        <v>#REF!</v>
      </c>
      <c r="CW34" t="e">
        <f>AND(#REF!,"AAAAAF6r+2Q=")</f>
        <v>#REF!</v>
      </c>
      <c r="CX34" t="e">
        <f>IF(#REF!,"AAAAAF6r+2U=",0)</f>
        <v>#REF!</v>
      </c>
      <c r="CY34" t="e">
        <f>AND(#REF!,"AAAAAF6r+2Y=")</f>
        <v>#REF!</v>
      </c>
      <c r="CZ34" t="e">
        <f>AND(#REF!,"AAAAAF6r+2c=")</f>
        <v>#REF!</v>
      </c>
      <c r="DA34" t="e">
        <f>AND(#REF!,"AAAAAF6r+2g=")</f>
        <v>#REF!</v>
      </c>
      <c r="DB34" t="e">
        <f>IF(#REF!,"AAAAAF6r+2k=",0)</f>
        <v>#REF!</v>
      </c>
      <c r="DC34" t="e">
        <f>AND(#REF!,"AAAAAF6r+2o=")</f>
        <v>#REF!</v>
      </c>
      <c r="DD34" t="e">
        <f>AND(#REF!,"AAAAAF6r+2s=")</f>
        <v>#REF!</v>
      </c>
      <c r="DE34" t="e">
        <f>AND(#REF!,"AAAAAF6r+2w=")</f>
        <v>#REF!</v>
      </c>
      <c r="DF34" t="e">
        <f>IF(#REF!,"AAAAAF6r+20=",0)</f>
        <v>#REF!</v>
      </c>
      <c r="DG34" t="e">
        <f>AND(#REF!,"AAAAAF6r+24=")</f>
        <v>#REF!</v>
      </c>
      <c r="DH34" t="e">
        <f>AND(#REF!,"AAAAAF6r+28=")</f>
        <v>#REF!</v>
      </c>
      <c r="DI34" t="e">
        <f>AND(#REF!,"AAAAAF6r+3A=")</f>
        <v>#REF!</v>
      </c>
      <c r="DJ34" t="e">
        <f>IF(#REF!,"AAAAAF6r+3E=",0)</f>
        <v>#REF!</v>
      </c>
      <c r="DK34" t="e">
        <f>AND(#REF!,"AAAAAF6r+3I=")</f>
        <v>#REF!</v>
      </c>
      <c r="DL34" t="e">
        <f>AND(#REF!,"AAAAAF6r+3M=")</f>
        <v>#REF!</v>
      </c>
      <c r="DM34" t="e">
        <f>AND(#REF!,"AAAAAF6r+3Q=")</f>
        <v>#REF!</v>
      </c>
      <c r="DN34" t="e">
        <f>IF(#REF!,"AAAAAF6r+3U=",0)</f>
        <v>#REF!</v>
      </c>
      <c r="DO34" t="e">
        <f>AND(#REF!,"AAAAAF6r+3Y=")</f>
        <v>#REF!</v>
      </c>
      <c r="DP34" t="e">
        <f>AND(#REF!,"AAAAAF6r+3c=")</f>
        <v>#REF!</v>
      </c>
      <c r="DQ34" t="e">
        <f>AND(#REF!,"AAAAAF6r+3g=")</f>
        <v>#REF!</v>
      </c>
      <c r="DR34" t="e">
        <f>IF(#REF!,"AAAAAF6r+3k=",0)</f>
        <v>#REF!</v>
      </c>
      <c r="DS34" t="e">
        <f>AND(#REF!,"AAAAAF6r+3o=")</f>
        <v>#REF!</v>
      </c>
      <c r="DT34" t="e">
        <f>AND(#REF!,"AAAAAF6r+3s=")</f>
        <v>#REF!</v>
      </c>
      <c r="DU34" t="e">
        <f>AND(#REF!,"AAAAAF6r+3w=")</f>
        <v>#REF!</v>
      </c>
      <c r="DV34" t="e">
        <f>IF(#REF!,"AAAAAF6r+30=",0)</f>
        <v>#REF!</v>
      </c>
      <c r="DW34" t="e">
        <f>AND(#REF!,"AAAAAF6r+34=")</f>
        <v>#REF!</v>
      </c>
      <c r="DX34" t="e">
        <f>AND(#REF!,"AAAAAF6r+38=")</f>
        <v>#REF!</v>
      </c>
      <c r="DY34" t="e">
        <f>AND(#REF!,"AAAAAF6r+4A=")</f>
        <v>#REF!</v>
      </c>
      <c r="DZ34" t="e">
        <f>IF(#REF!,"AAAAAF6r+4E=",0)</f>
        <v>#REF!</v>
      </c>
      <c r="EA34" t="e">
        <f>AND(#REF!,"AAAAAF6r+4I=")</f>
        <v>#REF!</v>
      </c>
      <c r="EB34" t="e">
        <f>AND(#REF!,"AAAAAF6r+4M=")</f>
        <v>#REF!</v>
      </c>
      <c r="EC34" t="e">
        <f>AND(#REF!,"AAAAAF6r+4Q=")</f>
        <v>#REF!</v>
      </c>
      <c r="ED34" t="e">
        <f>IF(#REF!,"AAAAAF6r+4U=",0)</f>
        <v>#REF!</v>
      </c>
      <c r="EE34" t="e">
        <f>AND(#REF!,"AAAAAF6r+4Y=")</f>
        <v>#REF!</v>
      </c>
      <c r="EF34" t="e">
        <f>AND(#REF!,"AAAAAF6r+4c=")</f>
        <v>#REF!</v>
      </c>
      <c r="EG34" t="e">
        <f>AND(#REF!,"AAAAAF6r+4g=")</f>
        <v>#REF!</v>
      </c>
      <c r="EH34" t="e">
        <f>IF(#REF!,"AAAAAF6r+4k=",0)</f>
        <v>#REF!</v>
      </c>
      <c r="EI34" t="e">
        <f>AND(#REF!,"AAAAAF6r+4o=")</f>
        <v>#REF!</v>
      </c>
      <c r="EJ34" t="e">
        <f>AND(#REF!,"AAAAAF6r+4s=")</f>
        <v>#REF!</v>
      </c>
      <c r="EK34" t="e">
        <f>AND(#REF!,"AAAAAF6r+4w=")</f>
        <v>#REF!</v>
      </c>
      <c r="EL34" t="e">
        <f>IF(#REF!,"AAAAAF6r+40=",0)</f>
        <v>#REF!</v>
      </c>
      <c r="EM34" t="e">
        <f>AND(#REF!,"AAAAAF6r+44=")</f>
        <v>#REF!</v>
      </c>
      <c r="EN34" t="e">
        <f>AND(#REF!,"AAAAAF6r+48=")</f>
        <v>#REF!</v>
      </c>
      <c r="EO34" t="e">
        <f>AND(#REF!,"AAAAAF6r+5A=")</f>
        <v>#REF!</v>
      </c>
      <c r="EP34" t="e">
        <f>IF(#REF!,"AAAAAF6r+5E=",0)</f>
        <v>#REF!</v>
      </c>
      <c r="EQ34" t="e">
        <f>AND(#REF!,"AAAAAF6r+5I=")</f>
        <v>#REF!</v>
      </c>
      <c r="ER34" t="e">
        <f>AND(#REF!,"AAAAAF6r+5M=")</f>
        <v>#REF!</v>
      </c>
      <c r="ES34" t="e">
        <f>AND(#REF!,"AAAAAF6r+5Q=")</f>
        <v>#REF!</v>
      </c>
      <c r="ET34" t="e">
        <f>IF(#REF!,"AAAAAF6r+5U=",0)</f>
        <v>#REF!</v>
      </c>
      <c r="EU34" t="e">
        <f>AND(#REF!,"AAAAAF6r+5Y=")</f>
        <v>#REF!</v>
      </c>
      <c r="EV34" t="e">
        <f>AND(#REF!,"AAAAAF6r+5c=")</f>
        <v>#REF!</v>
      </c>
      <c r="EW34" t="e">
        <f>AND(#REF!,"AAAAAF6r+5g=")</f>
        <v>#REF!</v>
      </c>
      <c r="EX34" t="e">
        <f>IF(#REF!,"AAAAAF6r+5k=",0)</f>
        <v>#REF!</v>
      </c>
      <c r="EY34" t="e">
        <f>AND(#REF!,"AAAAAF6r+5o=")</f>
        <v>#REF!</v>
      </c>
      <c r="EZ34" t="e">
        <f>AND(#REF!,"AAAAAF6r+5s=")</f>
        <v>#REF!</v>
      </c>
      <c r="FA34" t="e">
        <f>AND(#REF!,"AAAAAF6r+5w=")</f>
        <v>#REF!</v>
      </c>
      <c r="FB34" t="e">
        <f>IF(#REF!,"AAAAAF6r+50=",0)</f>
        <v>#REF!</v>
      </c>
      <c r="FC34" t="e">
        <f>AND(#REF!,"AAAAAF6r+54=")</f>
        <v>#REF!</v>
      </c>
      <c r="FD34" t="e">
        <f>AND(#REF!,"AAAAAF6r+58=")</f>
        <v>#REF!</v>
      </c>
      <c r="FE34" t="e">
        <f>AND(#REF!,"AAAAAF6r+6A=")</f>
        <v>#REF!</v>
      </c>
      <c r="FF34" t="e">
        <f>IF(#REF!,"AAAAAF6r+6E=",0)</f>
        <v>#REF!</v>
      </c>
      <c r="FG34" t="e">
        <f>AND(#REF!,"AAAAAF6r+6I=")</f>
        <v>#REF!</v>
      </c>
      <c r="FH34" t="e">
        <f>AND(#REF!,"AAAAAF6r+6M=")</f>
        <v>#REF!</v>
      </c>
      <c r="FI34" t="e">
        <f>AND(#REF!,"AAAAAF6r+6Q=")</f>
        <v>#REF!</v>
      </c>
      <c r="FJ34" t="e">
        <f>IF(#REF!,"AAAAAF6r+6U=",0)</f>
        <v>#REF!</v>
      </c>
      <c r="FK34" t="e">
        <f>AND(#REF!,"AAAAAF6r+6Y=")</f>
        <v>#REF!</v>
      </c>
      <c r="FL34" t="e">
        <f>AND(#REF!,"AAAAAF6r+6c=")</f>
        <v>#REF!</v>
      </c>
      <c r="FM34" t="e">
        <f>AND(#REF!,"AAAAAF6r+6g=")</f>
        <v>#REF!</v>
      </c>
      <c r="FN34" t="e">
        <f>IF(#REF!,"AAAAAF6r+6k=",0)</f>
        <v>#REF!</v>
      </c>
      <c r="FO34" t="e">
        <f>AND(#REF!,"AAAAAF6r+6o=")</f>
        <v>#REF!</v>
      </c>
      <c r="FP34" t="e">
        <f>AND(#REF!,"AAAAAF6r+6s=")</f>
        <v>#REF!</v>
      </c>
      <c r="FQ34" t="e">
        <f>AND(#REF!,"AAAAAF6r+6w=")</f>
        <v>#REF!</v>
      </c>
      <c r="FR34" t="e">
        <f>IF(#REF!,"AAAAAF6r+60=",0)</f>
        <v>#REF!</v>
      </c>
      <c r="FS34" t="e">
        <f>AND(#REF!,"AAAAAF6r+64=")</f>
        <v>#REF!</v>
      </c>
      <c r="FT34" t="e">
        <f>AND(#REF!,"AAAAAF6r+68=")</f>
        <v>#REF!</v>
      </c>
      <c r="FU34" t="e">
        <f>AND(#REF!,"AAAAAF6r+7A=")</f>
        <v>#REF!</v>
      </c>
      <c r="FV34" t="e">
        <f>IF(#REF!,"AAAAAF6r+7E=",0)</f>
        <v>#REF!</v>
      </c>
      <c r="FW34" t="e">
        <f>AND(#REF!,"AAAAAF6r+7I=")</f>
        <v>#REF!</v>
      </c>
      <c r="FX34" t="e">
        <f>AND(#REF!,"AAAAAF6r+7M=")</f>
        <v>#REF!</v>
      </c>
      <c r="FY34" t="e">
        <f>AND(#REF!,"AAAAAF6r+7Q=")</f>
        <v>#REF!</v>
      </c>
      <c r="FZ34" t="e">
        <f>IF(#REF!,"AAAAAF6r+7U=",0)</f>
        <v>#REF!</v>
      </c>
      <c r="GA34" t="e">
        <f>AND(#REF!,"AAAAAF6r+7Y=")</f>
        <v>#REF!</v>
      </c>
      <c r="GB34" t="e">
        <f>AND(#REF!,"AAAAAF6r+7c=")</f>
        <v>#REF!</v>
      </c>
      <c r="GC34" t="e">
        <f>AND(#REF!,"AAAAAF6r+7g=")</f>
        <v>#REF!</v>
      </c>
      <c r="GD34" t="e">
        <f>IF(#REF!,"AAAAAF6r+7k=",0)</f>
        <v>#REF!</v>
      </c>
      <c r="GE34" t="e">
        <f>AND(#REF!,"AAAAAF6r+7o=")</f>
        <v>#REF!</v>
      </c>
      <c r="GF34" t="e">
        <f>AND(#REF!,"AAAAAF6r+7s=")</f>
        <v>#REF!</v>
      </c>
      <c r="GG34" t="e">
        <f>AND(#REF!,"AAAAAF6r+7w=")</f>
        <v>#REF!</v>
      </c>
      <c r="GH34" t="e">
        <f>IF(#REF!,"AAAAAF6r+70=",0)</f>
        <v>#REF!</v>
      </c>
      <c r="GI34" t="e">
        <f>AND(#REF!,"AAAAAF6r+74=")</f>
        <v>#REF!</v>
      </c>
      <c r="GJ34" t="e">
        <f>AND(#REF!,"AAAAAF6r+78=")</f>
        <v>#REF!</v>
      </c>
      <c r="GK34" t="e">
        <f>AND(#REF!,"AAAAAF6r+8A=")</f>
        <v>#REF!</v>
      </c>
      <c r="GL34" t="e">
        <f>IF(#REF!,"AAAAAF6r+8E=",0)</f>
        <v>#REF!</v>
      </c>
      <c r="GM34" t="e">
        <f>AND(#REF!,"AAAAAF6r+8I=")</f>
        <v>#REF!</v>
      </c>
      <c r="GN34" t="e">
        <f>AND(#REF!,"AAAAAF6r+8M=")</f>
        <v>#REF!</v>
      </c>
      <c r="GO34" t="e">
        <f>AND(#REF!,"AAAAAF6r+8Q=")</f>
        <v>#REF!</v>
      </c>
      <c r="GP34" t="e">
        <f>IF(#REF!,"AAAAAF6r+8U=",0)</f>
        <v>#REF!</v>
      </c>
      <c r="GQ34" t="e">
        <f>AND(#REF!,"AAAAAF6r+8Y=")</f>
        <v>#REF!</v>
      </c>
      <c r="GR34" t="e">
        <f>AND(#REF!,"AAAAAF6r+8c=")</f>
        <v>#REF!</v>
      </c>
      <c r="GS34" t="e">
        <f>AND(#REF!,"AAAAAF6r+8g=")</f>
        <v>#REF!</v>
      </c>
      <c r="GT34" t="e">
        <f>IF(#REF!,"AAAAAF6r+8k=",0)</f>
        <v>#REF!</v>
      </c>
      <c r="GU34" t="e">
        <f>AND(#REF!,"AAAAAF6r+8o=")</f>
        <v>#REF!</v>
      </c>
      <c r="GV34" t="e">
        <f>AND(#REF!,"AAAAAF6r+8s=")</f>
        <v>#REF!</v>
      </c>
      <c r="GW34" t="e">
        <f>AND(#REF!,"AAAAAF6r+8w=")</f>
        <v>#REF!</v>
      </c>
      <c r="GX34" t="e">
        <f>IF(#REF!,"AAAAAF6r+80=",0)</f>
        <v>#REF!</v>
      </c>
      <c r="GY34" t="e">
        <f>AND(#REF!,"AAAAAF6r+84=")</f>
        <v>#REF!</v>
      </c>
      <c r="GZ34" t="e">
        <f>AND(#REF!,"AAAAAF6r+88=")</f>
        <v>#REF!</v>
      </c>
      <c r="HA34" t="e">
        <f>AND(#REF!,"AAAAAF6r+9A=")</f>
        <v>#REF!</v>
      </c>
      <c r="HB34" t="e">
        <f>IF(#REF!,"AAAAAF6r+9E=",0)</f>
        <v>#REF!</v>
      </c>
      <c r="HC34" t="e">
        <f>AND(#REF!,"AAAAAF6r+9I=")</f>
        <v>#REF!</v>
      </c>
      <c r="HD34" t="e">
        <f>AND(#REF!,"AAAAAF6r+9M=")</f>
        <v>#REF!</v>
      </c>
      <c r="HE34" t="e">
        <f>AND(#REF!,"AAAAAF6r+9Q=")</f>
        <v>#REF!</v>
      </c>
      <c r="HF34" t="e">
        <f>IF(#REF!,"AAAAAF6r+9U=",0)</f>
        <v>#REF!</v>
      </c>
      <c r="HG34" t="e">
        <f>AND(#REF!,"AAAAAF6r+9Y=")</f>
        <v>#REF!</v>
      </c>
      <c r="HH34" t="e">
        <f>AND(#REF!,"AAAAAF6r+9c=")</f>
        <v>#REF!</v>
      </c>
      <c r="HI34" t="e">
        <f>AND(#REF!,"AAAAAF6r+9g=")</f>
        <v>#REF!</v>
      </c>
      <c r="HJ34" t="e">
        <f>IF(#REF!,"AAAAAF6r+9k=",0)</f>
        <v>#REF!</v>
      </c>
      <c r="HK34" t="e">
        <f>AND(#REF!,"AAAAAF6r+9o=")</f>
        <v>#REF!</v>
      </c>
      <c r="HL34" t="e">
        <f>AND(#REF!,"AAAAAF6r+9s=")</f>
        <v>#REF!</v>
      </c>
      <c r="HM34" t="e">
        <f>AND(#REF!,"AAAAAF6r+9w=")</f>
        <v>#REF!</v>
      </c>
      <c r="HN34" t="e">
        <f>IF(#REF!,"AAAAAF6r+90=",0)</f>
        <v>#REF!</v>
      </c>
      <c r="HO34" t="e">
        <f>AND(#REF!,"AAAAAF6r+94=")</f>
        <v>#REF!</v>
      </c>
      <c r="HP34" t="e">
        <f>AND(#REF!,"AAAAAF6r+98=")</f>
        <v>#REF!</v>
      </c>
      <c r="HQ34" t="e">
        <f>AND(#REF!,"AAAAAF6r++A=")</f>
        <v>#REF!</v>
      </c>
      <c r="HR34" t="e">
        <f>IF(#REF!,"AAAAAF6r++E=",0)</f>
        <v>#REF!</v>
      </c>
      <c r="HS34" t="e">
        <f>AND(#REF!,"AAAAAF6r++I=")</f>
        <v>#REF!</v>
      </c>
      <c r="HT34" t="e">
        <f>AND(#REF!,"AAAAAF6r++M=")</f>
        <v>#REF!</v>
      </c>
      <c r="HU34" t="e">
        <f>AND(#REF!,"AAAAAF6r++Q=")</f>
        <v>#REF!</v>
      </c>
      <c r="HV34" t="e">
        <f>IF(#REF!,"AAAAAF6r++U=",0)</f>
        <v>#REF!</v>
      </c>
      <c r="HW34" t="e">
        <f>AND(#REF!,"AAAAAF6r++Y=")</f>
        <v>#REF!</v>
      </c>
      <c r="HX34" t="e">
        <f>AND(#REF!,"AAAAAF6r++c=")</f>
        <v>#REF!</v>
      </c>
      <c r="HY34" t="e">
        <f>AND(#REF!,"AAAAAF6r++g=")</f>
        <v>#REF!</v>
      </c>
      <c r="HZ34" t="e">
        <f>IF(#REF!,"AAAAAF6r++k=",0)</f>
        <v>#REF!</v>
      </c>
      <c r="IA34" t="e">
        <f>AND(#REF!,"AAAAAF6r++o=")</f>
        <v>#REF!</v>
      </c>
      <c r="IB34" t="e">
        <f>AND(#REF!,"AAAAAF6r++s=")</f>
        <v>#REF!</v>
      </c>
      <c r="IC34" t="e">
        <f>AND(#REF!,"AAAAAF6r++w=")</f>
        <v>#REF!</v>
      </c>
      <c r="ID34" t="e">
        <f>IF(#REF!,"AAAAAF6r++0=",0)</f>
        <v>#REF!</v>
      </c>
      <c r="IE34" t="e">
        <f>AND(#REF!,"AAAAAF6r++4=")</f>
        <v>#REF!</v>
      </c>
      <c r="IF34" t="e">
        <f>AND(#REF!,"AAAAAF6r++8=")</f>
        <v>#REF!</v>
      </c>
      <c r="IG34" t="e">
        <f>AND(#REF!,"AAAAAF6r+/A=")</f>
        <v>#REF!</v>
      </c>
      <c r="IH34" t="e">
        <f>IF(#REF!,"AAAAAF6r+/E=",0)</f>
        <v>#REF!</v>
      </c>
      <c r="II34" t="e">
        <f>AND(#REF!,"AAAAAF6r+/I=")</f>
        <v>#REF!</v>
      </c>
      <c r="IJ34" t="e">
        <f>AND(#REF!,"AAAAAF6r+/M=")</f>
        <v>#REF!</v>
      </c>
      <c r="IK34" t="e">
        <f>AND(#REF!,"AAAAAF6r+/Q=")</f>
        <v>#REF!</v>
      </c>
      <c r="IL34" t="e">
        <f>IF(#REF!,"AAAAAF6r+/U=",0)</f>
        <v>#REF!</v>
      </c>
      <c r="IM34" t="e">
        <f>AND(#REF!,"AAAAAF6r+/Y=")</f>
        <v>#REF!</v>
      </c>
      <c r="IN34" t="e">
        <f>AND(#REF!,"AAAAAF6r+/c=")</f>
        <v>#REF!</v>
      </c>
      <c r="IO34" t="e">
        <f>AND(#REF!,"AAAAAF6r+/g=")</f>
        <v>#REF!</v>
      </c>
      <c r="IP34" t="e">
        <f>IF(#REF!,"AAAAAF6r+/k=",0)</f>
        <v>#REF!</v>
      </c>
      <c r="IQ34" t="e">
        <f>AND(#REF!,"AAAAAF6r+/o=")</f>
        <v>#REF!</v>
      </c>
      <c r="IR34" t="e">
        <f>AND(#REF!,"AAAAAF6r+/s=")</f>
        <v>#REF!</v>
      </c>
      <c r="IS34" t="e">
        <f>AND(#REF!,"AAAAAF6r+/w=")</f>
        <v>#REF!</v>
      </c>
      <c r="IT34" t="e">
        <f>IF(#REF!,"AAAAAF6r+/0=",0)</f>
        <v>#REF!</v>
      </c>
      <c r="IU34" t="e">
        <f>AND(#REF!,"AAAAAF6r+/4=")</f>
        <v>#REF!</v>
      </c>
      <c r="IV34" t="e">
        <f>AND(#REF!,"AAAAAF6r+/8=")</f>
        <v>#REF!</v>
      </c>
    </row>
    <row r="35" spans="1:82" ht="12.75">
      <c r="A35" t="e">
        <f>AND(#REF!,"AAAAAH5/jAA=")</f>
        <v>#REF!</v>
      </c>
      <c r="B35" t="e">
        <f>IF(#REF!,"AAAAAH5/jAE=",0)</f>
        <v>#REF!</v>
      </c>
      <c r="C35" t="e">
        <f>AND(#REF!,"AAAAAH5/jAI=")</f>
        <v>#REF!</v>
      </c>
      <c r="D35" t="e">
        <f>AND(#REF!,"AAAAAH5/jAM=")</f>
        <v>#REF!</v>
      </c>
      <c r="E35" t="e">
        <f>AND(#REF!,"AAAAAH5/jAQ=")</f>
        <v>#REF!</v>
      </c>
      <c r="F35" t="e">
        <f>IF(#REF!,"AAAAAH5/jAU=",0)</f>
        <v>#REF!</v>
      </c>
      <c r="G35" t="e">
        <f>AND(#REF!,"AAAAAH5/jAY=")</f>
        <v>#REF!</v>
      </c>
      <c r="H35" t="e">
        <f>AND(#REF!,"AAAAAH5/jAc=")</f>
        <v>#REF!</v>
      </c>
      <c r="I35" t="e">
        <f>AND(#REF!,"AAAAAH5/jAg=")</f>
        <v>#REF!</v>
      </c>
      <c r="J35" t="e">
        <f>IF(#REF!,"AAAAAH5/jAk=",0)</f>
        <v>#REF!</v>
      </c>
      <c r="K35" t="e">
        <f>AND(#REF!,"AAAAAH5/jAo=")</f>
        <v>#REF!</v>
      </c>
      <c r="L35" t="e">
        <f>AND(#REF!,"AAAAAH5/jAs=")</f>
        <v>#REF!</v>
      </c>
      <c r="M35" t="e">
        <f>AND(#REF!,"AAAAAH5/jAw=")</f>
        <v>#REF!</v>
      </c>
      <c r="N35" t="e">
        <f>IF(#REF!,"AAAAAH5/jA0=",0)</f>
        <v>#REF!</v>
      </c>
      <c r="O35" t="e">
        <f>AND(#REF!,"AAAAAH5/jA4=")</f>
        <v>#REF!</v>
      </c>
      <c r="P35" t="e">
        <f>AND(#REF!,"AAAAAH5/jA8=")</f>
        <v>#REF!</v>
      </c>
      <c r="Q35" t="e">
        <f>AND(#REF!,"AAAAAH5/jBA=")</f>
        <v>#REF!</v>
      </c>
      <c r="R35" t="e">
        <f>IF(#REF!,"AAAAAH5/jBE=",0)</f>
        <v>#REF!</v>
      </c>
      <c r="S35" t="e">
        <f>AND(#REF!,"AAAAAH5/jBI=")</f>
        <v>#REF!</v>
      </c>
      <c r="T35" t="e">
        <f>AND(#REF!,"AAAAAH5/jBM=")</f>
        <v>#REF!</v>
      </c>
      <c r="U35" t="e">
        <f>AND(#REF!,"AAAAAH5/jBQ=")</f>
        <v>#REF!</v>
      </c>
      <c r="V35" t="e">
        <f>IF(#REF!,"AAAAAH5/jBU=",0)</f>
        <v>#REF!</v>
      </c>
      <c r="W35" t="e">
        <f>AND(#REF!,"AAAAAH5/jBY=")</f>
        <v>#REF!</v>
      </c>
      <c r="X35" t="e">
        <f>AND(#REF!,"AAAAAH5/jBc=")</f>
        <v>#REF!</v>
      </c>
      <c r="Y35" t="e">
        <f>AND(#REF!,"AAAAAH5/jBg=")</f>
        <v>#REF!</v>
      </c>
      <c r="Z35" t="e">
        <f>IF(#REF!,"AAAAAH5/jBk=",0)</f>
        <v>#REF!</v>
      </c>
      <c r="AA35" t="e">
        <f>AND(#REF!,"AAAAAH5/jBo=")</f>
        <v>#REF!</v>
      </c>
      <c r="AB35" t="e">
        <f>AND(#REF!,"AAAAAH5/jBs=")</f>
        <v>#REF!</v>
      </c>
      <c r="AC35" t="e">
        <f>AND(#REF!,"AAAAAH5/jBw=")</f>
        <v>#REF!</v>
      </c>
      <c r="AD35" t="e">
        <f>IF(#REF!,"AAAAAH5/jB0=",0)</f>
        <v>#REF!</v>
      </c>
      <c r="AE35" t="e">
        <f>AND(#REF!,"AAAAAH5/jB4=")</f>
        <v>#REF!</v>
      </c>
      <c r="AF35" t="e">
        <f>AND(#REF!,"AAAAAH5/jB8=")</f>
        <v>#REF!</v>
      </c>
      <c r="AG35" t="e">
        <f>AND(#REF!,"AAAAAH5/jCA=")</f>
        <v>#REF!</v>
      </c>
      <c r="AH35" t="e">
        <f>IF(#REF!,"AAAAAH5/jCE=",0)</f>
        <v>#REF!</v>
      </c>
      <c r="AI35" t="e">
        <f>AND(#REF!,"AAAAAH5/jCI=")</f>
        <v>#REF!</v>
      </c>
      <c r="AJ35" t="e">
        <f>AND(#REF!,"AAAAAH5/jCM=")</f>
        <v>#REF!</v>
      </c>
      <c r="AK35" t="e">
        <f>AND(#REF!,"AAAAAH5/jCQ=")</f>
        <v>#REF!</v>
      </c>
      <c r="AL35" t="e">
        <f>IF(#REF!,"AAAAAH5/jCU=",0)</f>
        <v>#REF!</v>
      </c>
      <c r="AM35" t="e">
        <f>IF(#REF!,"AAAAAH5/jCY=",0)</f>
        <v>#REF!</v>
      </c>
      <c r="AN35" t="e">
        <f>IF(#REF!,"AAAAAH5/jCc=",0)</f>
        <v>#REF!</v>
      </c>
      <c r="AO35" t="e">
        <f>IF(#REF!,"AAAAAH5/jCg=",0)</f>
        <v>#REF!</v>
      </c>
      <c r="AP35" t="e">
        <f>IF(#REF!,"AAAAAH5/jCk=",0)</f>
        <v>#REF!</v>
      </c>
      <c r="AQ35" t="e">
        <f>IF(#REF!,"AAAAAH5/jCo=",0)</f>
        <v>#REF!</v>
      </c>
      <c r="AR35" t="e">
        <f>IF(#REF!,"AAAAAH5/jCs=",0)</f>
        <v>#REF!</v>
      </c>
      <c r="AS35" t="e">
        <f>IF(#REF!,"AAAAAH5/jCw=",0)</f>
        <v>#REF!</v>
      </c>
      <c r="AT35" t="e">
        <f>IF(#REF!,"AAAAAH5/jC0=",0)</f>
        <v>#REF!</v>
      </c>
      <c r="AU35" t="s">
        <v>40</v>
      </c>
      <c r="AV35" s="18" t="s">
        <v>41</v>
      </c>
      <c r="AW35" s="23" t="s">
        <v>42</v>
      </c>
      <c r="AX35" s="24" t="s">
        <v>43</v>
      </c>
      <c r="AY35" s="25" t="s">
        <v>44</v>
      </c>
      <c r="AZ35" s="26" t="s">
        <v>45</v>
      </c>
      <c r="BA35" s="27" t="s">
        <v>46</v>
      </c>
      <c r="BB35" s="28" t="s">
        <v>47</v>
      </c>
      <c r="BC35" s="29" t="s">
        <v>48</v>
      </c>
      <c r="BD35" s="30" t="s">
        <v>49</v>
      </c>
      <c r="BE35" t="e">
        <f>IF("N",[0]!PRINT_AREA,"AAAAAH5/jDg=")</f>
        <v>#VALUE!</v>
      </c>
      <c r="BF35" t="e">
        <f>IF("N",[0]!PRINT_AREA,"AAAAAH5/jDk=")</f>
        <v>#VALUE!</v>
      </c>
      <c r="BG35" t="e">
        <f>IF("N",[0]!PRINT_AREA,"AAAAAH5/jDo=")</f>
        <v>#VALUE!</v>
      </c>
      <c r="BH35" t="e">
        <f>IF("N",[0]!PRINT_AREA,"AAAAAH5/jDs=")</f>
        <v>#VALUE!</v>
      </c>
      <c r="BI35" t="e">
        <f>IF("N",[0]!PRINT_AREA,"AAAAAH5/jDw=")</f>
        <v>#VALUE!</v>
      </c>
      <c r="BJ35" t="e">
        <f>IF("N",[0]!PRINT_AREA,"AAAAAH5/jD0=")</f>
        <v>#VALUE!</v>
      </c>
      <c r="BK35" t="e">
        <f>IF("N",[0]!PRINT_AREA,"AAAAAH5/jD4=")</f>
        <v>#VALUE!</v>
      </c>
      <c r="BL35" t="e">
        <f>IF("N",[0]!PRINT_AREA,"AAAAAH5/jD8=")</f>
        <v>#VALUE!</v>
      </c>
      <c r="BM35" t="e">
        <f>IF("N",[0]!PRINT_AREA,"AAAAAH5/jEA=")</f>
        <v>#VALUE!</v>
      </c>
      <c r="BN35" t="e">
        <f>IF("N",[0]!PRINT_AREA,"AAAAAH5/jEE=")</f>
        <v>#VALUE!</v>
      </c>
      <c r="BO35" t="e">
        <f>IF("N",[0]!PRINT_AREA,"AAAAAH5/jEI=")</f>
        <v>#VALUE!</v>
      </c>
      <c r="BP35" t="e">
        <f>IF("N",[0]!PRINT_AREA,"AAAAAH5/jEM=")</f>
        <v>#VALUE!</v>
      </c>
      <c r="BQ35" t="e">
        <f>IF("N",[0]!PRINT_AREA,"AAAAAH5/jEQ=")</f>
        <v>#VALUE!</v>
      </c>
      <c r="BR35" t="e">
        <f>IF("N",[0]!PRINT_AREA,"AAAAAH5/jEU=")</f>
        <v>#VALUE!</v>
      </c>
      <c r="BS35" t="e">
        <f>IF("N",[0]!PRINT_AREA,"AAAAAH5/jEY=")</f>
        <v>#VALUE!</v>
      </c>
      <c r="BT35" t="e">
        <f>IF("N",[0]!PRINT_AREA,"AAAAAH5/jEc=")</f>
        <v>#VALUE!</v>
      </c>
      <c r="BU35" t="e">
        <f>IF("N",[0]!PRINT_AREA,"AAAAAH5/jEg=")</f>
        <v>#VALUE!</v>
      </c>
      <c r="BV35" t="e">
        <f>IF("N",[0]!PRINT_AREA,"AAAAAH5/jEk=")</f>
        <v>#VALUE!</v>
      </c>
      <c r="BW35" t="e">
        <f>IF("N",[0]!PRINT_AREA,"AAAAAH5/jEo=")</f>
        <v>#VALUE!</v>
      </c>
      <c r="BX35" t="e">
        <f>IF("N",[0]!PRINT_AREA,"AAAAAH5/jEs=")</f>
        <v>#VALUE!</v>
      </c>
      <c r="BY35" t="e">
        <f>IF("N",[0]!PRINT_AREA,"AAAAAH5/jEw=")</f>
        <v>#VALUE!</v>
      </c>
      <c r="BZ35" t="e">
        <f>IF("N",[0]!PRINT_AREA,"AAAAAH5/jE0=")</f>
        <v>#VALUE!</v>
      </c>
      <c r="CA35" t="e">
        <f>IF("N",[0]!PRINT_AREA,"AAAAAH5/jE4=")</f>
        <v>#VALUE!</v>
      </c>
      <c r="CB35" t="e">
        <f>IF("N",[0]!PRINT_AREA,"AAAAAH5/jE8=")</f>
        <v>#VALUE!</v>
      </c>
      <c r="CC35" t="e">
        <f>IF("N",[0]!PRINT_AREA,"AAAAAH5/jFA=")</f>
        <v>#VALUE!</v>
      </c>
      <c r="CD35" t="e">
        <f>IF("N",[0]!PRINT_AREA,"AAAAAH5/jFE=")</f>
        <v>#VALUE!</v>
      </c>
    </row>
    <row r="36" spans="1:162" ht="12.75">
      <c r="A36" t="e">
        <f>AND(#REF!,"AAAAAH/3PwA=")</f>
        <v>#REF!</v>
      </c>
      <c r="B36" t="e">
        <f>AND(#REF!,"AAAAAH/3PwE=")</f>
        <v>#REF!</v>
      </c>
      <c r="C36" t="e">
        <f>AND(#REF!,"AAAAAH/3PwI=")</f>
        <v>#REF!</v>
      </c>
      <c r="D36" t="e">
        <f>AND(#REF!,"AAAAAH/3PwM=")</f>
        <v>#REF!</v>
      </c>
      <c r="E36" t="e">
        <f>AND(#REF!,"AAAAAH/3PwQ=")</f>
        <v>#REF!</v>
      </c>
      <c r="F36" t="e">
        <f>AND(#REF!,"AAAAAH/3PwU=")</f>
        <v>#REF!</v>
      </c>
      <c r="G36" t="e">
        <f>AND(#REF!,"AAAAAH/3PwY=")</f>
        <v>#REF!</v>
      </c>
      <c r="H36" t="e">
        <f>AND(#REF!,"AAAAAH/3Pwc=")</f>
        <v>#REF!</v>
      </c>
      <c r="I36" t="e">
        <f>AND(#REF!,"AAAAAH/3Pwg=")</f>
        <v>#REF!</v>
      </c>
      <c r="J36" t="e">
        <f>AND(#REF!,"AAAAAH/3Pwk=")</f>
        <v>#REF!</v>
      </c>
      <c r="K36" t="e">
        <f>AND(#REF!,"AAAAAH/3Pwo=")</f>
        <v>#REF!</v>
      </c>
      <c r="L36" t="e">
        <f>AND(#REF!,"AAAAAH/3Pws=")</f>
        <v>#REF!</v>
      </c>
      <c r="M36" t="e">
        <f>AND(#REF!,"AAAAAH/3Pww=")</f>
        <v>#REF!</v>
      </c>
      <c r="N36" t="e">
        <f>AND(#REF!,"AAAAAH/3Pw0=")</f>
        <v>#REF!</v>
      </c>
      <c r="O36" t="e">
        <f>AND(#REF!,"AAAAAH/3Pw4=")</f>
        <v>#REF!</v>
      </c>
      <c r="P36" t="e">
        <f>AND(#REF!,"AAAAAH/3Pw8=")</f>
        <v>#REF!</v>
      </c>
      <c r="Q36" t="e">
        <f>AND(#REF!,"AAAAAH/3PxA=")</f>
        <v>#REF!</v>
      </c>
      <c r="R36" t="e">
        <f>AND(#REF!,"AAAAAH/3PxE=")</f>
        <v>#REF!</v>
      </c>
      <c r="S36" t="e">
        <f>AND(#REF!,"AAAAAH/3PxI=")</f>
        <v>#REF!</v>
      </c>
      <c r="T36" t="e">
        <f>AND(#REF!,"AAAAAH/3PxM=")</f>
        <v>#REF!</v>
      </c>
      <c r="U36" t="e">
        <f>AND(#REF!,"AAAAAH/3PxQ=")</f>
        <v>#REF!</v>
      </c>
      <c r="V36" t="e">
        <f>AND(#REF!,"AAAAAH/3PxU=")</f>
        <v>#REF!</v>
      </c>
      <c r="W36" t="e">
        <f>AND(#REF!,"AAAAAH/3PxY=")</f>
        <v>#REF!</v>
      </c>
      <c r="X36" t="e">
        <f>AND(#REF!,"AAAAAH/3Pxc=")</f>
        <v>#REF!</v>
      </c>
      <c r="Y36" t="e">
        <f>AND(#REF!,"AAAAAH/3Pxg=")</f>
        <v>#REF!</v>
      </c>
      <c r="Z36" t="e">
        <f>AND(#REF!,"AAAAAH/3Pxk=")</f>
        <v>#REF!</v>
      </c>
      <c r="AA36" t="e">
        <f>AND(#REF!,"AAAAAH/3Pxo=")</f>
        <v>#REF!</v>
      </c>
      <c r="AB36" t="e">
        <f>AND(#REF!,"AAAAAH/3Pxs=")</f>
        <v>#REF!</v>
      </c>
      <c r="AC36" t="e">
        <f>AND(#REF!,"AAAAAH/3Pxw=")</f>
        <v>#REF!</v>
      </c>
      <c r="AD36" t="e">
        <f>AND(#REF!,"AAAAAH/3Px0=")</f>
        <v>#REF!</v>
      </c>
      <c r="AE36" t="e">
        <f>AND(#REF!,"AAAAAH/3Px4=")</f>
        <v>#REF!</v>
      </c>
      <c r="AF36" t="e">
        <f>AND(#REF!,"AAAAAH/3Px8=")</f>
        <v>#REF!</v>
      </c>
      <c r="AG36" t="e">
        <f>AND(#REF!,"AAAAAH/3PyA=")</f>
        <v>#REF!</v>
      </c>
      <c r="AH36" t="e">
        <f>AND(#REF!,"AAAAAH/3PyE=")</f>
        <v>#REF!</v>
      </c>
      <c r="AI36" t="e">
        <f>AND(#REF!,"AAAAAH/3PyI=")</f>
        <v>#REF!</v>
      </c>
      <c r="AJ36" t="e">
        <f>AND(#REF!,"AAAAAH/3PyM=")</f>
        <v>#REF!</v>
      </c>
      <c r="AK36" t="e">
        <f>AND(#REF!,"AAAAAH/3PyQ=")</f>
        <v>#REF!</v>
      </c>
      <c r="AL36" t="e">
        <f>AND(#REF!,"AAAAAH/3PyU=")</f>
        <v>#REF!</v>
      </c>
      <c r="AM36" t="e">
        <f>AND(#REF!,"AAAAAH/3PyY=")</f>
        <v>#REF!</v>
      </c>
      <c r="AN36" t="e">
        <f>AND(#REF!,"AAAAAH/3Pyc=")</f>
        <v>#REF!</v>
      </c>
      <c r="AO36" t="e">
        <f>AND(#REF!,"AAAAAH/3Pyg=")</f>
        <v>#REF!</v>
      </c>
      <c r="AP36" t="e">
        <f>AND(#REF!,"AAAAAH/3Pyk=")</f>
        <v>#REF!</v>
      </c>
      <c r="AQ36" t="e">
        <f>AND(#REF!,"AAAAAH/3Pyo=")</f>
        <v>#REF!</v>
      </c>
      <c r="AR36" t="e">
        <f>AND(#REF!,"AAAAAH/3Pys=")</f>
        <v>#REF!</v>
      </c>
      <c r="AS36" t="e">
        <f>AND(#REF!,"AAAAAH/3Pyw=")</f>
        <v>#REF!</v>
      </c>
      <c r="AT36" t="e">
        <f>AND(#REF!,"AAAAAH/3Py0=")</f>
        <v>#REF!</v>
      </c>
      <c r="AU36" t="e">
        <f>AND(#REF!,"AAAAAH/3Py4=")</f>
        <v>#REF!</v>
      </c>
      <c r="AV36" t="e">
        <f>AND(#REF!,"AAAAAH/3Py8=")</f>
        <v>#REF!</v>
      </c>
      <c r="AW36" t="e">
        <f>AND(#REF!,"AAAAAH/3PzA=")</f>
        <v>#REF!</v>
      </c>
      <c r="AX36" t="e">
        <f>AND(#REF!,"AAAAAH/3PzE=")</f>
        <v>#REF!</v>
      </c>
      <c r="AY36" t="e">
        <f>AND(#REF!,"AAAAAH/3PzI=")</f>
        <v>#REF!</v>
      </c>
      <c r="AZ36" t="e">
        <f>AND(#REF!,"AAAAAH/3PzM=")</f>
        <v>#REF!</v>
      </c>
      <c r="BA36" t="e">
        <f>AND(#REF!,"AAAAAH/3PzQ=")</f>
        <v>#REF!</v>
      </c>
      <c r="BB36" t="e">
        <f>AND(#REF!,"AAAAAH/3PzU=")</f>
        <v>#REF!</v>
      </c>
      <c r="BC36" t="e">
        <f>AND(#REF!,"AAAAAH/3PzY=")</f>
        <v>#REF!</v>
      </c>
      <c r="BD36" t="e">
        <f>AND(#REF!,"AAAAAH/3Pzc=")</f>
        <v>#REF!</v>
      </c>
      <c r="BE36" t="e">
        <f>AND(#REF!,"AAAAAH/3Pzg=")</f>
        <v>#REF!</v>
      </c>
      <c r="BF36" t="e">
        <f>AND(#REF!,"AAAAAH/3Pzk=")</f>
        <v>#REF!</v>
      </c>
      <c r="BG36" t="e">
        <f>AND(#REF!,"AAAAAH/3Pzo=")</f>
        <v>#REF!</v>
      </c>
      <c r="BH36" t="e">
        <f>AND(#REF!,"AAAAAH/3Pzs=")</f>
        <v>#REF!</v>
      </c>
      <c r="BI36" t="e">
        <f>AND(#REF!,"AAAAAH/3Pzw=")</f>
        <v>#REF!</v>
      </c>
      <c r="BJ36" t="e">
        <f>AND(#REF!,"AAAAAH/3Pz0=")</f>
        <v>#REF!</v>
      </c>
      <c r="BK36" t="e">
        <f>AND(#REF!,"AAAAAH/3Pz4=")</f>
        <v>#REF!</v>
      </c>
      <c r="BL36" t="e">
        <f>AND(#REF!,"AAAAAH/3Pz8=")</f>
        <v>#REF!</v>
      </c>
      <c r="BM36" t="e">
        <f>AND(#REF!,"AAAAAH/3P0A=")</f>
        <v>#REF!</v>
      </c>
      <c r="BN36" t="e">
        <f>AND(#REF!,"AAAAAH/3P0E=")</f>
        <v>#REF!</v>
      </c>
      <c r="BO36" t="e">
        <f>AND(#REF!,"AAAAAH/3P0I=")</f>
        <v>#REF!</v>
      </c>
      <c r="BP36" t="e">
        <f>AND(#REF!,"AAAAAH/3P0M=")</f>
        <v>#REF!</v>
      </c>
      <c r="BQ36" t="e">
        <f>AND(#REF!,"AAAAAH/3P0Q=")</f>
        <v>#REF!</v>
      </c>
      <c r="BR36" t="e">
        <f>AND(#REF!,"AAAAAH/3P0U=")</f>
        <v>#REF!</v>
      </c>
      <c r="BS36" t="e">
        <f>AND(#REF!,"AAAAAH/3P0Y=")</f>
        <v>#REF!</v>
      </c>
      <c r="BT36" t="e">
        <f>AND(#REF!,"AAAAAH/3P0c=")</f>
        <v>#REF!</v>
      </c>
      <c r="BU36" t="e">
        <f>AND(#REF!,"AAAAAH/3P0g=")</f>
        <v>#REF!</v>
      </c>
      <c r="BV36" t="e">
        <f>AND(#REF!,"AAAAAH/3P0k=")</f>
        <v>#REF!</v>
      </c>
      <c r="BW36" t="e">
        <f>AND(#REF!,"AAAAAH/3P0o=")</f>
        <v>#REF!</v>
      </c>
      <c r="BX36" t="e">
        <f>AND(#REF!,"AAAAAH/3P0s=")</f>
        <v>#REF!</v>
      </c>
      <c r="BY36" t="e">
        <f>AND(#REF!,"AAAAAH/3P0w=")</f>
        <v>#REF!</v>
      </c>
      <c r="BZ36" t="e">
        <f>AND(#REF!,"AAAAAH/3P00=")</f>
        <v>#REF!</v>
      </c>
      <c r="CA36" t="e">
        <f>AND(#REF!,"AAAAAH/3P04=")</f>
        <v>#REF!</v>
      </c>
      <c r="CB36" t="e">
        <f>AND(#REF!,"AAAAAH/3P08=")</f>
        <v>#REF!</v>
      </c>
      <c r="CC36" t="e">
        <f>AND(#REF!,"AAAAAH/3P1A=")</f>
        <v>#REF!</v>
      </c>
      <c r="CD36" t="e">
        <f>AND(#REF!,"AAAAAH/3P1E=")</f>
        <v>#REF!</v>
      </c>
      <c r="CE36" t="e">
        <f>AND(#REF!,"AAAAAH/3P1I=")</f>
        <v>#REF!</v>
      </c>
      <c r="CF36" t="e">
        <f>AND(#REF!,"AAAAAH/3P1M=")</f>
        <v>#REF!</v>
      </c>
      <c r="CG36" t="e">
        <f>AND(#REF!,"AAAAAH/3P1Q=")</f>
        <v>#REF!</v>
      </c>
      <c r="CH36" t="e">
        <f>AND(#REF!,"AAAAAH/3P1U=")</f>
        <v>#REF!</v>
      </c>
      <c r="CI36" t="e">
        <f>AND(#REF!,"AAAAAH/3P1Y=")</f>
        <v>#REF!</v>
      </c>
      <c r="CJ36" t="e">
        <f>AND(#REF!,"AAAAAH/3P1c=")</f>
        <v>#REF!</v>
      </c>
      <c r="CK36" t="e">
        <f>AND(#REF!,"AAAAAH/3P1g=")</f>
        <v>#REF!</v>
      </c>
      <c r="CL36" t="e">
        <f>AND(#REF!,"AAAAAH/3P1k=")</f>
        <v>#REF!</v>
      </c>
      <c r="CM36" t="e">
        <f>AND(#REF!,"AAAAAH/3P1o=")</f>
        <v>#REF!</v>
      </c>
      <c r="CN36" t="e">
        <f>AND(#REF!,"AAAAAH/3P1s=")</f>
        <v>#REF!</v>
      </c>
      <c r="CO36" t="e">
        <f>AND(#REF!,"AAAAAH/3P1w=")</f>
        <v>#REF!</v>
      </c>
      <c r="CP36" t="e">
        <f>AND(#REF!,"AAAAAH/3P10=")</f>
        <v>#REF!</v>
      </c>
      <c r="CQ36" t="e">
        <f>AND(#REF!,"AAAAAH/3P14=")</f>
        <v>#REF!</v>
      </c>
      <c r="CR36" t="e">
        <f>AND(#REF!,"AAAAAH/3P18=")</f>
        <v>#REF!</v>
      </c>
      <c r="CS36" t="e">
        <f>AND(#REF!,"AAAAAH/3P2A=")</f>
        <v>#REF!</v>
      </c>
      <c r="CT36" t="e">
        <f>AND(#REF!,"AAAAAH/3P2E=")</f>
        <v>#REF!</v>
      </c>
      <c r="CU36" t="e">
        <f>AND(#REF!,"AAAAAH/3P2I=")</f>
        <v>#REF!</v>
      </c>
      <c r="CV36" t="e">
        <f>AND(#REF!,"AAAAAH/3P2M=")</f>
        <v>#REF!</v>
      </c>
      <c r="CW36" t="e">
        <f>AND(#REF!,"AAAAAH/3P2Q=")</f>
        <v>#REF!</v>
      </c>
      <c r="CX36" t="e">
        <f>AND(#REF!,"AAAAAH/3P2U=")</f>
        <v>#REF!</v>
      </c>
      <c r="CY36" t="e">
        <f>AND(#REF!,"AAAAAH/3P2Y=")</f>
        <v>#REF!</v>
      </c>
      <c r="CZ36" t="e">
        <f>AND(#REF!,"AAAAAH/3P2c=")</f>
        <v>#REF!</v>
      </c>
      <c r="DA36" t="e">
        <f>AND(#REF!,"AAAAAH/3P2g=")</f>
        <v>#REF!</v>
      </c>
      <c r="DB36" t="e">
        <f>AND(#REF!,"AAAAAH/3P2k=")</f>
        <v>#REF!</v>
      </c>
      <c r="DC36" t="e">
        <f>AND(#REF!,"AAAAAH/3P2o=")</f>
        <v>#REF!</v>
      </c>
      <c r="DD36" t="e">
        <f>AND(#REF!,"AAAAAH/3P2s=")</f>
        <v>#REF!</v>
      </c>
      <c r="DE36" t="e">
        <f>AND(#REF!,"AAAAAH/3P2w=")</f>
        <v>#REF!</v>
      </c>
      <c r="DF36" t="e">
        <f>AND(#REF!,"AAAAAH/3P20=")</f>
        <v>#REF!</v>
      </c>
      <c r="DG36" t="e">
        <f>AND(#REF!,"AAAAAH/3P24=")</f>
        <v>#REF!</v>
      </c>
      <c r="DH36" t="e">
        <f>AND(#REF!,"AAAAAH/3P28=")</f>
        <v>#REF!</v>
      </c>
      <c r="DI36" t="e">
        <f>AND(#REF!,"AAAAAH/3P3A=")</f>
        <v>#REF!</v>
      </c>
      <c r="DJ36" t="e">
        <f>AND(#REF!,"AAAAAH/3P3E=")</f>
        <v>#REF!</v>
      </c>
      <c r="DK36" t="e">
        <f>AND(#REF!,"AAAAAH/3P3I=")</f>
        <v>#REF!</v>
      </c>
      <c r="DL36" t="e">
        <f>AND(#REF!,"AAAAAH/3P3M=")</f>
        <v>#REF!</v>
      </c>
      <c r="DM36" t="e">
        <f>AND(#REF!,"AAAAAH/3P3Q=")</f>
        <v>#REF!</v>
      </c>
      <c r="DN36" t="e">
        <f>AND(#REF!,"AAAAAH/3P3U=")</f>
        <v>#REF!</v>
      </c>
      <c r="DO36" t="e">
        <f>AND(#REF!,"AAAAAH/3P3Y=")</f>
        <v>#REF!</v>
      </c>
      <c r="DP36" t="e">
        <f>AND(#REF!,"AAAAAH/3P3c=")</f>
        <v>#REF!</v>
      </c>
      <c r="DQ36" t="e">
        <f>AND(#REF!,"AAAAAH/3P3g=")</f>
        <v>#REF!</v>
      </c>
      <c r="DR36" t="e">
        <f>AND(#REF!,"AAAAAH/3P3k=")</f>
        <v>#REF!</v>
      </c>
      <c r="DS36" t="e">
        <f>AND(#REF!,"AAAAAH/3P3o=")</f>
        <v>#REF!</v>
      </c>
      <c r="DT36" t="e">
        <f>AND(#REF!,"AAAAAH/3P3s=")</f>
        <v>#REF!</v>
      </c>
      <c r="DU36" t="e">
        <f>AND(#REF!,"AAAAAH/3P3w=")</f>
        <v>#REF!</v>
      </c>
      <c r="DV36" t="e">
        <f>AND(#REF!,"AAAAAH/3P30=")</f>
        <v>#REF!</v>
      </c>
      <c r="DW36" t="e">
        <f>AND(#REF!,"AAAAAH/3P34=")</f>
        <v>#REF!</v>
      </c>
      <c r="DX36" t="e">
        <f>AND(#REF!,"AAAAAH/3P38=")</f>
        <v>#REF!</v>
      </c>
      <c r="DY36" t="e">
        <f>AND(#REF!,"AAAAAH/3P4A=")</f>
        <v>#REF!</v>
      </c>
      <c r="DZ36" t="e">
        <f>AND(#REF!,"AAAAAH/3P4E=")</f>
        <v>#REF!</v>
      </c>
      <c r="EA36" t="e">
        <f>AND(#REF!,"AAAAAH/3P4I=")</f>
        <v>#REF!</v>
      </c>
      <c r="EB36" t="e">
        <f>AND(#REF!,"AAAAAH/3P4M=")</f>
        <v>#REF!</v>
      </c>
      <c r="EC36" t="e">
        <f>IF(#REF!,"AAAAAH/3P4Q=",0)</f>
        <v>#REF!</v>
      </c>
      <c r="ED36" t="e">
        <f>IF(#REF!,"AAAAAH/3P4U=",0)</f>
        <v>#REF!</v>
      </c>
      <c r="EE36" t="e">
        <f>IF(#REF!,"AAAAAH/3P4Y=",0)</f>
        <v>#REF!</v>
      </c>
      <c r="EF36" t="s">
        <v>50</v>
      </c>
      <c r="EG36" t="e">
        <f>IF("N",[0]!PRINT_AREA,"AAAAAH/3P4g=")</f>
        <v>#VALUE!</v>
      </c>
      <c r="EH36" t="e">
        <f>IF("N",[0]!PRINT_AREA,"AAAAAH/3P4k=")</f>
        <v>#VALUE!</v>
      </c>
      <c r="EI36" t="e">
        <f>IF("N",[0]!PRINT_AREA,"AAAAAH/3P4o=")</f>
        <v>#VALUE!</v>
      </c>
      <c r="EJ36" t="e">
        <f>IF("N",[0]!PRINT_AREA,"AAAAAH/3P4s=")</f>
        <v>#VALUE!</v>
      </c>
      <c r="EK36" t="e">
        <f>IF("N",[0]!PRINT_AREA,"AAAAAH/3P4w=")</f>
        <v>#VALUE!</v>
      </c>
      <c r="EL36" t="e">
        <f>IF("N",[0]!PRINT_AREA,"AAAAAH/3P40=")</f>
        <v>#VALUE!</v>
      </c>
      <c r="EM36" t="e">
        <f>IF("N",[0]!PRINT_AREA,"AAAAAH/3P44=")</f>
        <v>#VALUE!</v>
      </c>
      <c r="EN36" t="e">
        <f>IF("N",[0]!PRINT_AREA,"AAAAAH/3P48=")</f>
        <v>#VALUE!</v>
      </c>
      <c r="EO36" t="e">
        <f>IF("N",[0]!PRINT_AREA,"AAAAAH/3P5A=")</f>
        <v>#VALUE!</v>
      </c>
      <c r="EP36" t="e">
        <f>IF("N",[0]!PRINT_AREA,"AAAAAH/3P5E=")</f>
        <v>#VALUE!</v>
      </c>
      <c r="EQ36" t="e">
        <f>IF("N",[0]!PRINT_AREA,"AAAAAH/3P5I=")</f>
        <v>#VALUE!</v>
      </c>
      <c r="ER36" t="e">
        <f>IF("N",[0]!PRINT_AREA,"AAAAAH/3P5M=")</f>
        <v>#VALUE!</v>
      </c>
      <c r="ES36" t="e">
        <f>IF("N",[0]!PRINT_AREA,"AAAAAH/3P5Q=")</f>
        <v>#VALUE!</v>
      </c>
      <c r="ET36" t="e">
        <f>IF("N",[0]!PRINT_AREA,"AAAAAH/3P5U=")</f>
        <v>#VALUE!</v>
      </c>
      <c r="EU36" t="e">
        <f>IF("N",[0]!PRINT_AREA,"AAAAAH/3P5Y=")</f>
        <v>#VALUE!</v>
      </c>
      <c r="EV36" t="e">
        <f>IF("N",[0]!PRINT_AREA,"AAAAAH/3P5c=")</f>
        <v>#VALUE!</v>
      </c>
      <c r="EW36" t="e">
        <f>IF("N",[0]!PRINT_AREA,"AAAAAH/3P5g=")</f>
        <v>#VALUE!</v>
      </c>
      <c r="EX36" t="e">
        <f>IF("N",[0]!PRINT_AREA,"AAAAAH/3P5k=")</f>
        <v>#VALUE!</v>
      </c>
      <c r="EY36" t="e">
        <f>IF("N",[0]!PRINT_AREA,"AAAAAH/3P5o=")</f>
        <v>#VALUE!</v>
      </c>
      <c r="EZ36" t="e">
        <f>IF("N",[0]!PRINT_AREA,"AAAAAH/3P5s=")</f>
        <v>#VALUE!</v>
      </c>
      <c r="FA36" t="e">
        <f>IF("N",[0]!PRINT_AREA,"AAAAAH/3P5w=")</f>
        <v>#VALUE!</v>
      </c>
      <c r="FB36" t="e">
        <f>IF("N",[0]!PRINT_AREA,"AAAAAH/3P50=")</f>
        <v>#VALUE!</v>
      </c>
      <c r="FC36" t="e">
        <f>IF("N",[0]!PRINT_AREA,"AAAAAH/3P54=")</f>
        <v>#VALUE!</v>
      </c>
      <c r="FD36" t="e">
        <f>IF("N",[0]!PRINT_AREA,"AAAAAH/3P58=")</f>
        <v>#VALUE!</v>
      </c>
      <c r="FE36" t="e">
        <f>IF("N",[0]!PRINT_AREA,"AAAAAH/3P6A=")</f>
        <v>#VALUE!</v>
      </c>
      <c r="FF36" t="e">
        <f>IF("N",[0]!PRINT_AREA,"AAAAAH/3P6E=")</f>
        <v>#VALUE!</v>
      </c>
    </row>
    <row r="37" spans="1:27" ht="12.75">
      <c r="A37" t="s">
        <v>51</v>
      </c>
      <c r="B37" t="e">
        <f>IF("N",[0]!PRINT_AREA,"AAAAAE3rvQE=")</f>
        <v>#VALUE!</v>
      </c>
      <c r="C37" t="e">
        <f>IF("N",[0]!PRINT_AREA,"AAAAAE3rvQI=")</f>
        <v>#VALUE!</v>
      </c>
      <c r="D37" t="e">
        <f>IF("N",[0]!PRINT_AREA,"AAAAAE3rvQM=")</f>
        <v>#VALUE!</v>
      </c>
      <c r="E37" t="e">
        <f>IF("N",[0]!PRINT_AREA,"AAAAAE3rvQQ=")</f>
        <v>#VALUE!</v>
      </c>
      <c r="F37" t="e">
        <f>IF("N",[0]!PRINT_AREA,"AAAAAE3rvQU=")</f>
        <v>#VALUE!</v>
      </c>
      <c r="G37" t="e">
        <f>IF("N",[0]!PRINT_AREA,"AAAAAE3rvQY=")</f>
        <v>#VALUE!</v>
      </c>
      <c r="H37" t="e">
        <f>IF("N",[0]!PRINT_AREA,"AAAAAE3rvQc=")</f>
        <v>#VALUE!</v>
      </c>
      <c r="I37" t="e">
        <f>IF("N",[0]!PRINT_AREA,"AAAAAE3rvQg=")</f>
        <v>#VALUE!</v>
      </c>
      <c r="J37" t="e">
        <f>IF("N",[0]!PRINT_AREA,"AAAAAE3rvQk=")</f>
        <v>#VALUE!</v>
      </c>
      <c r="K37" t="e">
        <f>IF("N",[0]!PRINT_AREA,"AAAAAE3rvQo=")</f>
        <v>#VALUE!</v>
      </c>
      <c r="L37" t="e">
        <f>IF("N",[0]!PRINT_AREA,"AAAAAE3rvQs=")</f>
        <v>#VALUE!</v>
      </c>
      <c r="M37" t="e">
        <f>IF("N",[0]!PRINT_AREA,"AAAAAE3rvQw=")</f>
        <v>#VALUE!</v>
      </c>
      <c r="N37" t="e">
        <f>IF("N",[0]!PRINT_AREA,"AAAAAE3rvQ0=")</f>
        <v>#VALUE!</v>
      </c>
      <c r="O37" t="e">
        <f>IF("N",[0]!PRINT_AREA,"AAAAAE3rvQ4=")</f>
        <v>#VALUE!</v>
      </c>
      <c r="P37" t="e">
        <f>IF("N",[0]!PRINT_AREA,"AAAAAE3rvQ8=")</f>
        <v>#VALUE!</v>
      </c>
      <c r="Q37" t="e">
        <f>IF("N",[0]!PRINT_AREA,"AAAAAE3rvRA=")</f>
        <v>#VALUE!</v>
      </c>
      <c r="R37" t="e">
        <f>IF("N",[0]!PRINT_AREA,"AAAAAE3rvRE=")</f>
        <v>#VALUE!</v>
      </c>
      <c r="S37" t="e">
        <f>IF("N",[0]!PRINT_AREA,"AAAAAE3rvRI=")</f>
        <v>#VALUE!</v>
      </c>
      <c r="T37" t="e">
        <f>IF("N",[0]!PRINT_AREA,"AAAAAE3rvRM=")</f>
        <v>#VALUE!</v>
      </c>
      <c r="U37" t="e">
        <f>IF("N",[0]!PRINT_AREA,"AAAAAE3rvRQ=")</f>
        <v>#VALUE!</v>
      </c>
      <c r="V37" t="e">
        <f>IF("N",[0]!PRINT_AREA,"AAAAAE3rvRU=")</f>
        <v>#VALUE!</v>
      </c>
      <c r="W37" t="e">
        <f>IF("N",[0]!PRINT_AREA,"AAAAAE3rvRY=")</f>
        <v>#VALUE!</v>
      </c>
      <c r="X37" t="e">
        <f>IF("N",[0]!PRINT_AREA,"AAAAAE3rvRc=")</f>
        <v>#VALUE!</v>
      </c>
      <c r="Y37" t="e">
        <f>IF("N",[0]!PRINT_AREA,"AAAAAE3rvRg=")</f>
        <v>#VALUE!</v>
      </c>
      <c r="Z37" t="e">
        <f>IF("N",[0]!PRINT_AREA,"AAAAAE3rvRk=")</f>
        <v>#VALUE!</v>
      </c>
      <c r="AA37" t="e">
        <f>IF("N",[0]!PRINT_AREA,"AAAAAE3rvRo=")</f>
        <v>#VALUE!</v>
      </c>
    </row>
    <row r="38" spans="1:47" ht="12.75">
      <c r="A38" t="e">
        <f>IF(#REF!,"AAAAAFp33wA=",0)</f>
        <v>#REF!</v>
      </c>
      <c r="B38" t="e">
        <f>AND(#REF!,"AAAAAFp33wE=")</f>
        <v>#REF!</v>
      </c>
      <c r="C38" t="e">
        <f>AND(#REF!,"AAAAAFp33wI=")</f>
        <v>#REF!</v>
      </c>
      <c r="D38" t="e">
        <f>AND(#REF!,"AAAAAFp33wM=")</f>
        <v>#REF!</v>
      </c>
      <c r="E38" t="e">
        <f>AND(#REF!,"AAAAAFp33wQ=")</f>
        <v>#REF!</v>
      </c>
      <c r="F38" t="e">
        <f>AND(#REF!,"AAAAAFp33wU=")</f>
        <v>#REF!</v>
      </c>
      <c r="G38" t="e">
        <f>AND(#REF!,"AAAAAFp33wY=")</f>
        <v>#REF!</v>
      </c>
      <c r="H38" t="e">
        <f>AND(#REF!,"AAAAAFp33wc=")</f>
        <v>#REF!</v>
      </c>
      <c r="I38" t="e">
        <f>AND(#REF!,"AAAAAFp33wg=")</f>
        <v>#REF!</v>
      </c>
      <c r="J38" t="e">
        <f>AND(#REF!,"AAAAAFp33wk=")</f>
        <v>#REF!</v>
      </c>
      <c r="K38" t="e">
        <f>IF(#REF!,"AAAAAFp33wo=",0)</f>
        <v>#REF!</v>
      </c>
      <c r="L38" t="e">
        <f>AND(#REF!,"AAAAAFp33ws=")</f>
        <v>#REF!</v>
      </c>
      <c r="M38" t="e">
        <f>AND(#REF!,"AAAAAFp33ww=")</f>
        <v>#REF!</v>
      </c>
      <c r="N38" t="e">
        <f>AND(#REF!,"AAAAAFp33w0=")</f>
        <v>#REF!</v>
      </c>
      <c r="O38" t="e">
        <f>AND(#REF!,"AAAAAFp33w4=")</f>
        <v>#REF!</v>
      </c>
      <c r="P38" t="e">
        <f>AND(#REF!,"AAAAAFp33w8=")</f>
        <v>#REF!</v>
      </c>
      <c r="Q38" t="e">
        <f>AND(#REF!,"AAAAAFp33xA=")</f>
        <v>#REF!</v>
      </c>
      <c r="R38" t="e">
        <f>AND(#REF!,"AAAAAFp33xE=")</f>
        <v>#REF!</v>
      </c>
      <c r="S38" t="e">
        <f>AND(#REF!,"AAAAAFp33xI=")</f>
        <v>#REF!</v>
      </c>
      <c r="T38" t="e">
        <f>AND(#REF!,"AAAAAFp33xM=")</f>
        <v>#REF!</v>
      </c>
      <c r="U38" t="s">
        <v>52</v>
      </c>
      <c r="V38" t="e">
        <f>IF("N",[0]!PRINT_AREA,"AAAAAFp33xU=")</f>
        <v>#VALUE!</v>
      </c>
      <c r="W38" t="e">
        <f>IF("N",[0]!PRINT_AREA,"AAAAAFp33xY=")</f>
        <v>#VALUE!</v>
      </c>
      <c r="X38" t="e">
        <f>IF("N",[0]!PRINT_AREA,"AAAAAFp33xc=")</f>
        <v>#VALUE!</v>
      </c>
      <c r="Y38" t="e">
        <f>IF("N",[0]!PRINT_AREA,"AAAAAFp33xg=")</f>
        <v>#VALUE!</v>
      </c>
      <c r="Z38" t="e">
        <f>IF("N",[0]!PRINT_AREA,"AAAAAFp33xk=")</f>
        <v>#VALUE!</v>
      </c>
      <c r="AA38" t="e">
        <f>IF("N",[0]!PRINT_AREA,"AAAAAFp33xo=")</f>
        <v>#VALUE!</v>
      </c>
      <c r="AB38" t="e">
        <f>IF("N",[0]!PRINT_AREA,"AAAAAFp33xs=")</f>
        <v>#VALUE!</v>
      </c>
      <c r="AC38" t="e">
        <f>IF("N",[0]!PRINT_AREA,"AAAAAFp33xw=")</f>
        <v>#VALUE!</v>
      </c>
      <c r="AD38" t="e">
        <f>IF("N",[0]!PRINT_AREA,"AAAAAFp33x0=")</f>
        <v>#VALUE!</v>
      </c>
      <c r="AE38" t="e">
        <f>IF("N",[0]!PRINT_AREA,"AAAAAFp33x4=")</f>
        <v>#VALUE!</v>
      </c>
      <c r="AF38" t="e">
        <f>IF("N",[0]!PRINT_AREA,"AAAAAFp33x8=")</f>
        <v>#VALUE!</v>
      </c>
      <c r="AG38" t="e">
        <f>IF("N",[0]!PRINT_AREA,"AAAAAFp33yA=")</f>
        <v>#VALUE!</v>
      </c>
      <c r="AH38" t="e">
        <f>IF("N",[0]!PRINT_AREA,"AAAAAFp33yE=")</f>
        <v>#VALUE!</v>
      </c>
      <c r="AI38" t="e">
        <f>IF("N",[0]!PRINT_AREA,"AAAAAFp33yI=")</f>
        <v>#VALUE!</v>
      </c>
      <c r="AJ38" t="e">
        <f>IF("N",[0]!PRINT_AREA,"AAAAAFp33yM=")</f>
        <v>#VALUE!</v>
      </c>
      <c r="AK38" t="e">
        <f>IF("N",[0]!PRINT_AREA,"AAAAAFp33yQ=")</f>
        <v>#VALUE!</v>
      </c>
      <c r="AL38" t="e">
        <f>IF("N",[0]!PRINT_AREA,"AAAAAFp33yU=")</f>
        <v>#VALUE!</v>
      </c>
      <c r="AM38" t="e">
        <f>IF("N",[0]!PRINT_AREA,"AAAAAFp33yY=")</f>
        <v>#VALUE!</v>
      </c>
      <c r="AN38" t="e">
        <f>IF("N",[0]!PRINT_AREA,"AAAAAFp33yc=")</f>
        <v>#VALUE!</v>
      </c>
      <c r="AO38" t="e">
        <f>IF("N",[0]!PRINT_AREA,"AAAAAFp33yg=")</f>
        <v>#VALUE!</v>
      </c>
      <c r="AP38" t="e">
        <f>IF("N",[0]!PRINT_AREA,"AAAAAFp33yk=")</f>
        <v>#VALUE!</v>
      </c>
      <c r="AQ38" t="e">
        <f>IF("N",[0]!PRINT_AREA,"AAAAAFp33yo=")</f>
        <v>#VALUE!</v>
      </c>
      <c r="AR38" t="e">
        <f>IF("N",[0]!PRINT_AREA,"AAAAAFp33ys=")</f>
        <v>#VALUE!</v>
      </c>
      <c r="AS38" t="e">
        <f>IF("N",[0]!PRINT_AREA,"AAAAAFp33yw=")</f>
        <v>#VALUE!</v>
      </c>
      <c r="AT38" t="e">
        <f>IF("N",[0]!PRINT_AREA,"AAAAAFp33y0=")</f>
        <v>#VALUE!</v>
      </c>
      <c r="AU38" t="e">
        <f>IF("N",[0]!PRINT_AREA,"AAAAAFp33y4=")</f>
        <v>#VALUE!</v>
      </c>
    </row>
    <row r="39" spans="1:99" ht="12.75">
      <c r="A39" t="e">
        <f>AND(#REF!,"AAAAAH//1wA=")</f>
        <v>#REF!</v>
      </c>
      <c r="B39" t="e">
        <f>AND(#REF!,"AAAAAH//1wE=")</f>
        <v>#REF!</v>
      </c>
      <c r="C39" t="e">
        <f>AND(#REF!,"AAAAAH//1wI=")</f>
        <v>#REF!</v>
      </c>
      <c r="D39" t="e">
        <f>AND(#REF!,"AAAAAH//1wM=")</f>
        <v>#REF!</v>
      </c>
      <c r="E39" t="e">
        <f>AND(#REF!,"AAAAAH//1wQ=")</f>
        <v>#REF!</v>
      </c>
      <c r="F39" t="e">
        <f>AND(#REF!,"AAAAAH//1wU=")</f>
        <v>#REF!</v>
      </c>
      <c r="G39" t="e">
        <f>AND(#REF!,"AAAAAH//1wY=")</f>
        <v>#REF!</v>
      </c>
      <c r="H39" t="e">
        <f>AND(#REF!,"AAAAAH//1wc=")</f>
        <v>#REF!</v>
      </c>
      <c r="I39" t="e">
        <f>AND(#REF!,"AAAAAH//1wg=")</f>
        <v>#REF!</v>
      </c>
      <c r="J39" t="e">
        <f>AND(#REF!,"AAAAAH//1wk=")</f>
        <v>#REF!</v>
      </c>
      <c r="K39" t="e">
        <f>AND(#REF!,"AAAAAH//1wo=")</f>
        <v>#REF!</v>
      </c>
      <c r="L39" t="e">
        <f>AND(#REF!,"AAAAAH//1ws=")</f>
        <v>#REF!</v>
      </c>
      <c r="M39" t="e">
        <f>AND(#REF!,"AAAAAH//1ww=")</f>
        <v>#REF!</v>
      </c>
      <c r="N39" t="e">
        <f>AND(#REF!,"AAAAAH//1w0=")</f>
        <v>#REF!</v>
      </c>
      <c r="O39" t="e">
        <f>AND(#REF!,"AAAAAH//1w4=")</f>
        <v>#REF!</v>
      </c>
      <c r="P39" t="e">
        <f>AND(#REF!,"AAAAAH//1w8=")</f>
        <v>#REF!</v>
      </c>
      <c r="Q39" t="e">
        <f>AND(#REF!,"AAAAAH//1xA=")</f>
        <v>#REF!</v>
      </c>
      <c r="R39" t="e">
        <f>AND(#REF!,"AAAAAH//1xE=")</f>
        <v>#REF!</v>
      </c>
      <c r="S39" t="e">
        <f>AND(#REF!,"AAAAAH//1xI=")</f>
        <v>#REF!</v>
      </c>
      <c r="T39" t="e">
        <f>AND(#REF!,"AAAAAH//1xM=")</f>
        <v>#REF!</v>
      </c>
      <c r="U39" t="e">
        <f>AND(#REF!,"AAAAAH//1xQ=")</f>
        <v>#REF!</v>
      </c>
      <c r="V39" t="e">
        <f>AND(#REF!,"AAAAAH//1xU=")</f>
        <v>#REF!</v>
      </c>
      <c r="W39" t="e">
        <f>AND(#REF!,"AAAAAH//1xY=")</f>
        <v>#REF!</v>
      </c>
      <c r="X39" t="e">
        <f>AND(#REF!,"AAAAAH//1xc=")</f>
        <v>#REF!</v>
      </c>
      <c r="Y39" t="e">
        <f>AND(#REF!,"AAAAAH//1xg=")</f>
        <v>#REF!</v>
      </c>
      <c r="Z39" t="e">
        <f>AND(#REF!,"AAAAAH//1xk=")</f>
        <v>#REF!</v>
      </c>
      <c r="AA39" t="e">
        <f>AND(#REF!,"AAAAAH//1xo=")</f>
        <v>#REF!</v>
      </c>
      <c r="AB39" t="e">
        <f>AND(#REF!,"AAAAAH//1xs=")</f>
        <v>#REF!</v>
      </c>
      <c r="AC39" t="e">
        <f>AND(#REF!,"AAAAAH//1xw=")</f>
        <v>#REF!</v>
      </c>
      <c r="AD39" t="e">
        <f>AND(#REF!,"AAAAAH//1x0=")</f>
        <v>#REF!</v>
      </c>
      <c r="AE39" t="e">
        <f>AND(#REF!,"AAAAAH//1x4=")</f>
        <v>#REF!</v>
      </c>
      <c r="AF39" t="e">
        <f>AND(#REF!,"AAAAAH//1x8=")</f>
        <v>#REF!</v>
      </c>
      <c r="AG39" t="e">
        <f>AND(#REF!,"AAAAAH//1yA=")</f>
        <v>#REF!</v>
      </c>
      <c r="AH39" t="e">
        <f>AND(#REF!,"AAAAAH//1yE=")</f>
        <v>#REF!</v>
      </c>
      <c r="AI39" t="e">
        <f>AND(#REF!,"AAAAAH//1yI=")</f>
        <v>#REF!</v>
      </c>
      <c r="AJ39" t="e">
        <f>AND(#REF!,"AAAAAH//1yM=")</f>
        <v>#REF!</v>
      </c>
      <c r="AK39" t="e">
        <f>AND(#REF!,"AAAAAH//1yQ=")</f>
        <v>#REF!</v>
      </c>
      <c r="AL39" t="e">
        <f>AND(#REF!,"AAAAAH//1yU=")</f>
        <v>#REF!</v>
      </c>
      <c r="AM39" t="e">
        <f>AND(#REF!,"AAAAAH//1yY=")</f>
        <v>#REF!</v>
      </c>
      <c r="AN39" t="e">
        <f>AND(#REF!,"AAAAAH//1yc=")</f>
        <v>#REF!</v>
      </c>
      <c r="AO39" t="e">
        <f>AND(#REF!,"AAAAAH//1yg=")</f>
        <v>#REF!</v>
      </c>
      <c r="AP39" t="e">
        <f>AND(#REF!,"AAAAAH//1yk=")</f>
        <v>#REF!</v>
      </c>
      <c r="AQ39" t="e">
        <f>AND(#REF!,"AAAAAH//1yo=")</f>
        <v>#REF!</v>
      </c>
      <c r="AR39" t="e">
        <f>AND(#REF!,"AAAAAH//1ys=")</f>
        <v>#REF!</v>
      </c>
      <c r="AS39" t="e">
        <f>AND(#REF!,"AAAAAH//1yw=")</f>
        <v>#REF!</v>
      </c>
      <c r="AT39" t="e">
        <f>AND(#REF!,"AAAAAH//1y0=")</f>
        <v>#REF!</v>
      </c>
      <c r="AU39" t="e">
        <f>AND(#REF!,"AAAAAH//1y4=")</f>
        <v>#REF!</v>
      </c>
      <c r="AV39" t="e">
        <f>AND(#REF!,"AAAAAH//1y8=")</f>
        <v>#REF!</v>
      </c>
      <c r="AW39" t="e">
        <f>AND(#REF!,"AAAAAH//1zA=")</f>
        <v>#REF!</v>
      </c>
      <c r="AX39" t="e">
        <f>AND(#REF!,"AAAAAH//1zE=")</f>
        <v>#REF!</v>
      </c>
      <c r="AY39" t="e">
        <f>AND(#REF!,"AAAAAH//1zI=")</f>
        <v>#REF!</v>
      </c>
      <c r="AZ39" t="e">
        <f>AND(#REF!,"AAAAAH//1zM=")</f>
        <v>#REF!</v>
      </c>
      <c r="BA39" t="e">
        <f>AND(#REF!,"AAAAAH//1zQ=")</f>
        <v>#REF!</v>
      </c>
      <c r="BB39" t="e">
        <f>AND(#REF!,"AAAAAH//1zU=")</f>
        <v>#REF!</v>
      </c>
      <c r="BC39" t="e">
        <f>AND(#REF!,"AAAAAH//1zY=")</f>
        <v>#REF!</v>
      </c>
      <c r="BD39" t="e">
        <f>AND(#REF!,"AAAAAH//1zc=")</f>
        <v>#REF!</v>
      </c>
      <c r="BE39" t="e">
        <f>AND(#REF!,"AAAAAH//1zg=")</f>
        <v>#REF!</v>
      </c>
      <c r="BF39" t="e">
        <f>AND(#REF!,"AAAAAH//1zk=")</f>
        <v>#REF!</v>
      </c>
      <c r="BG39" t="e">
        <f>AND(#REF!,"AAAAAH//1zo=")</f>
        <v>#REF!</v>
      </c>
      <c r="BH39" t="e">
        <f>AND(#REF!,"AAAAAH//1zs=")</f>
        <v>#REF!</v>
      </c>
      <c r="BI39" t="e">
        <f>AND(#REF!,"AAAAAH//1zw=")</f>
        <v>#REF!</v>
      </c>
      <c r="BJ39" t="e">
        <f>AND(#REF!,"AAAAAH//1z0=")</f>
        <v>#REF!</v>
      </c>
      <c r="BK39" t="e">
        <f>AND(#REF!,"AAAAAH//1z4=")</f>
        <v>#REF!</v>
      </c>
      <c r="BL39" t="e">
        <f>AND(#REF!,"AAAAAH//1z8=")</f>
        <v>#REF!</v>
      </c>
      <c r="BM39" t="e">
        <f>AND(#REF!,"AAAAAH//10A=")</f>
        <v>#REF!</v>
      </c>
      <c r="BN39" t="e">
        <f>AND(#REF!,"AAAAAH//10E=")</f>
        <v>#REF!</v>
      </c>
      <c r="BO39" t="e">
        <f>AND(#REF!,"AAAAAH//10I=")</f>
        <v>#REF!</v>
      </c>
      <c r="BP39" t="e">
        <f>AND(#REF!,"AAAAAH//10M=")</f>
        <v>#REF!</v>
      </c>
      <c r="BQ39" t="e">
        <f>AND(#REF!,"AAAAAH//10Q=")</f>
        <v>#REF!</v>
      </c>
      <c r="BR39" t="e">
        <f>IF(#REF!,"AAAAAH//10U=",0)</f>
        <v>#REF!</v>
      </c>
      <c r="BS39" t="e">
        <f>IF(#REF!,"AAAAAH//10Y=",0)</f>
        <v>#REF!</v>
      </c>
      <c r="BT39" t="e">
        <f>IF(#REF!,"AAAAAH//10c=",0)</f>
        <v>#REF!</v>
      </c>
      <c r="BU39" t="s">
        <v>53</v>
      </c>
      <c r="BV39" t="e">
        <f>IF("N",[0]!PRINT_AREA,"AAAAAH//10k=")</f>
        <v>#VALUE!</v>
      </c>
      <c r="BW39" t="e">
        <f>IF("N",[0]!PRINT_AREA,"AAAAAH//10o=")</f>
        <v>#VALUE!</v>
      </c>
      <c r="BX39" t="e">
        <f>IF("N",[0]!PRINT_AREA,"AAAAAH//10s=")</f>
        <v>#VALUE!</v>
      </c>
      <c r="BY39" t="e">
        <f>IF("N",[0]!PRINT_AREA,"AAAAAH//10w=")</f>
        <v>#VALUE!</v>
      </c>
      <c r="BZ39" t="e">
        <f>IF("N",[0]!PRINT_AREA,"AAAAAH//100=")</f>
        <v>#VALUE!</v>
      </c>
      <c r="CA39" t="e">
        <f>IF("N",[0]!PRINT_AREA,"AAAAAH//104=")</f>
        <v>#VALUE!</v>
      </c>
      <c r="CB39" t="e">
        <f>IF("N",[0]!PRINT_AREA,"AAAAAH//108=")</f>
        <v>#VALUE!</v>
      </c>
      <c r="CC39" t="e">
        <f>IF("N",[0]!PRINT_AREA,"AAAAAH//11A=")</f>
        <v>#VALUE!</v>
      </c>
      <c r="CD39" t="e">
        <f>IF("N",[0]!PRINT_AREA,"AAAAAH//11E=")</f>
        <v>#VALUE!</v>
      </c>
      <c r="CE39" t="e">
        <f>IF("N",[0]!PRINT_AREA,"AAAAAH//11I=")</f>
        <v>#VALUE!</v>
      </c>
      <c r="CF39" t="e">
        <f>IF("N",[0]!PRINT_AREA,"AAAAAH//11M=")</f>
        <v>#VALUE!</v>
      </c>
      <c r="CG39" t="e">
        <f>IF("N",[0]!PRINT_AREA,"AAAAAH//11Q=")</f>
        <v>#VALUE!</v>
      </c>
      <c r="CH39" t="e">
        <f>IF("N",[0]!PRINT_AREA,"AAAAAH//11U=")</f>
        <v>#VALUE!</v>
      </c>
      <c r="CI39" t="e">
        <f>IF("N",[0]!PRINT_AREA,"AAAAAH//11Y=")</f>
        <v>#VALUE!</v>
      </c>
      <c r="CJ39" t="e">
        <f>IF("N",[0]!PRINT_AREA,"AAAAAH//11c=")</f>
        <v>#VALUE!</v>
      </c>
      <c r="CK39" t="e">
        <f>IF("N",[0]!PRINT_AREA,"AAAAAH//11g=")</f>
        <v>#VALUE!</v>
      </c>
      <c r="CL39" t="e">
        <f>IF("N",[0]!PRINT_AREA,"AAAAAH//11k=")</f>
        <v>#VALUE!</v>
      </c>
      <c r="CM39" t="e">
        <f>IF("N",[0]!PRINT_AREA,"AAAAAH//11o=")</f>
        <v>#VALUE!</v>
      </c>
      <c r="CN39" t="e">
        <f>IF("N",[0]!PRINT_AREA,"AAAAAH//11s=")</f>
        <v>#VALUE!</v>
      </c>
      <c r="CO39" t="e">
        <f>IF("N",[0]!PRINT_AREA,"AAAAAH//11w=")</f>
        <v>#VALUE!</v>
      </c>
      <c r="CP39" t="e">
        <f>IF("N",[0]!PRINT_AREA,"AAAAAH//110=")</f>
        <v>#VALUE!</v>
      </c>
      <c r="CQ39" t="e">
        <f>IF("N",[0]!PRINT_AREA,"AAAAAH//114=")</f>
        <v>#VALUE!</v>
      </c>
      <c r="CR39" t="e">
        <f>IF("N",[0]!PRINT_AREA,"AAAAAH//118=")</f>
        <v>#VALUE!</v>
      </c>
      <c r="CS39" t="e">
        <f>IF("N",[0]!PRINT_AREA,"AAAAAH//12A=")</f>
        <v>#VALUE!</v>
      </c>
      <c r="CT39" t="e">
        <f>IF("N",[0]!PRINT_AREA,"AAAAAH//12E=")</f>
        <v>#VALUE!</v>
      </c>
      <c r="CU39" t="e">
        <f>IF("N",[0]!PRINT_AREA,"AAAAAH//12I=")</f>
        <v>#VALUE!</v>
      </c>
    </row>
    <row r="40" spans="1:27" ht="12.75">
      <c r="A40" t="s">
        <v>54</v>
      </c>
      <c r="B40" t="e">
        <f>IF("N",[0]!PRINT_AREA,"AAAAAHl/bwE=")</f>
        <v>#VALUE!</v>
      </c>
      <c r="C40" t="e">
        <f>IF("N",[0]!PRINT_AREA,"AAAAAHl/bwI=")</f>
        <v>#VALUE!</v>
      </c>
      <c r="D40" t="e">
        <f>IF("N",[0]!PRINT_AREA,"AAAAAHl/bwM=")</f>
        <v>#VALUE!</v>
      </c>
      <c r="E40" t="e">
        <f>IF("N",[0]!PRINT_AREA,"AAAAAHl/bwQ=")</f>
        <v>#VALUE!</v>
      </c>
      <c r="F40" t="e">
        <f>IF("N",[0]!PRINT_AREA,"AAAAAHl/bwU=")</f>
        <v>#VALUE!</v>
      </c>
      <c r="G40" t="e">
        <f>IF("N",[0]!PRINT_AREA,"AAAAAHl/bwY=")</f>
        <v>#VALUE!</v>
      </c>
      <c r="H40" t="e">
        <f>IF("N",[0]!PRINT_AREA,"AAAAAHl/bwc=")</f>
        <v>#VALUE!</v>
      </c>
      <c r="I40" t="e">
        <f>IF("N",[0]!PRINT_AREA,"AAAAAHl/bwg=")</f>
        <v>#VALUE!</v>
      </c>
      <c r="J40" t="e">
        <f>IF("N",[0]!PRINT_AREA,"AAAAAHl/bwk=")</f>
        <v>#VALUE!</v>
      </c>
      <c r="K40" t="e">
        <f>IF("N",[0]!PRINT_AREA,"AAAAAHl/bwo=")</f>
        <v>#VALUE!</v>
      </c>
      <c r="L40" t="e">
        <f>IF("N",[0]!PRINT_AREA,"AAAAAHl/bws=")</f>
        <v>#VALUE!</v>
      </c>
      <c r="M40" t="e">
        <f>IF("N",[0]!PRINT_AREA,"AAAAAHl/bww=")</f>
        <v>#VALUE!</v>
      </c>
      <c r="N40" t="e">
        <f>IF("N",[0]!PRINT_AREA,"AAAAAHl/bw0=")</f>
        <v>#VALUE!</v>
      </c>
      <c r="O40" t="e">
        <f>IF("N",[0]!PRINT_AREA,"AAAAAHl/bw4=")</f>
        <v>#VALUE!</v>
      </c>
      <c r="P40" t="e">
        <f>IF("N",[0]!PRINT_AREA,"AAAAAHl/bw8=")</f>
        <v>#VALUE!</v>
      </c>
      <c r="Q40" t="e">
        <f>IF("N",[0]!PRINT_AREA,"AAAAAHl/bxA=")</f>
        <v>#VALUE!</v>
      </c>
      <c r="R40" t="e">
        <f>IF("N",[0]!PRINT_AREA,"AAAAAHl/bxE=")</f>
        <v>#VALUE!</v>
      </c>
      <c r="S40" t="e">
        <f>IF("N",[0]!PRINT_AREA,"AAAAAHl/bxI=")</f>
        <v>#VALUE!</v>
      </c>
      <c r="T40" t="e">
        <f>IF("N",[0]!PRINT_AREA,"AAAAAHl/bxM=")</f>
        <v>#VALUE!</v>
      </c>
      <c r="U40" t="e">
        <f>IF("N",[0]!PRINT_AREA,"AAAAAHl/bxQ=")</f>
        <v>#VALUE!</v>
      </c>
      <c r="V40" t="e">
        <f>IF("N",[0]!PRINT_AREA,"AAAAAHl/bxU=")</f>
        <v>#VALUE!</v>
      </c>
      <c r="W40" t="e">
        <f>IF("N",[0]!PRINT_AREA,"AAAAAHl/bxY=")</f>
        <v>#VALUE!</v>
      </c>
      <c r="X40" t="e">
        <f>IF("N",[0]!PRINT_AREA,"AAAAAHl/bxc=")</f>
        <v>#VALUE!</v>
      </c>
      <c r="Y40" t="e">
        <f>IF("N",[0]!PRINT_AREA,"AAAAAHl/bxg=")</f>
        <v>#VALUE!</v>
      </c>
      <c r="Z40" t="e">
        <f>IF("N",[0]!PRINT_AREA,"AAAAAHl/bxk=")</f>
        <v>#VALUE!</v>
      </c>
      <c r="AA40" t="e">
        <f>IF("N",[0]!PRINT_AREA,"AAAAAHl/bxo=")</f>
        <v>#VALUE!</v>
      </c>
    </row>
    <row r="41" spans="1:27" ht="12.75">
      <c r="A41" t="s">
        <v>55</v>
      </c>
      <c r="B41" t="e">
        <f>IF("N",[0]!PRINT_AREA,"AAAAAHPzvQE=")</f>
        <v>#VALUE!</v>
      </c>
      <c r="C41" t="e">
        <f>IF("N",[0]!PRINT_AREA,"AAAAAHPzvQI=")</f>
        <v>#VALUE!</v>
      </c>
      <c r="D41" t="e">
        <f>IF("N",[0]!PRINT_AREA,"AAAAAHPzvQM=")</f>
        <v>#VALUE!</v>
      </c>
      <c r="E41" t="e">
        <f>IF("N",[0]!PRINT_AREA,"AAAAAHPzvQQ=")</f>
        <v>#VALUE!</v>
      </c>
      <c r="F41" t="e">
        <f>IF("N",[0]!PRINT_AREA,"AAAAAHPzvQU=")</f>
        <v>#VALUE!</v>
      </c>
      <c r="G41" t="e">
        <f>IF("N",[0]!PRINT_AREA,"AAAAAHPzvQY=")</f>
        <v>#VALUE!</v>
      </c>
      <c r="H41" t="e">
        <f>IF("N",[0]!PRINT_AREA,"AAAAAHPzvQc=")</f>
        <v>#VALUE!</v>
      </c>
      <c r="I41" t="e">
        <f>IF("N",[0]!PRINT_AREA,"AAAAAHPzvQg=")</f>
        <v>#VALUE!</v>
      </c>
      <c r="J41" t="e">
        <f>IF("N",[0]!PRINT_AREA,"AAAAAHPzvQk=")</f>
        <v>#VALUE!</v>
      </c>
      <c r="K41" t="e">
        <f>IF("N",[0]!PRINT_AREA,"AAAAAHPzvQo=")</f>
        <v>#VALUE!</v>
      </c>
      <c r="L41" t="e">
        <f>IF("N",[0]!PRINT_AREA,"AAAAAHPzvQs=")</f>
        <v>#VALUE!</v>
      </c>
      <c r="M41" t="e">
        <f>IF("N",[0]!PRINT_AREA,"AAAAAHPzvQw=")</f>
        <v>#VALUE!</v>
      </c>
      <c r="N41" t="e">
        <f>IF("N",[0]!PRINT_AREA,"AAAAAHPzvQ0=")</f>
        <v>#VALUE!</v>
      </c>
      <c r="O41" t="e">
        <f>IF("N",[0]!PRINT_AREA,"AAAAAHPzvQ4=")</f>
        <v>#VALUE!</v>
      </c>
      <c r="P41" t="e">
        <f>IF("N",[0]!PRINT_AREA,"AAAAAHPzvQ8=")</f>
        <v>#VALUE!</v>
      </c>
      <c r="Q41" t="e">
        <f>IF("N",[0]!PRINT_AREA,"AAAAAHPzvRA=")</f>
        <v>#VALUE!</v>
      </c>
      <c r="R41" t="e">
        <f>IF("N",[0]!PRINT_AREA,"AAAAAHPzvRE=")</f>
        <v>#VALUE!</v>
      </c>
      <c r="S41" t="e">
        <f>IF("N",[0]!PRINT_AREA,"AAAAAHPzvRI=")</f>
        <v>#VALUE!</v>
      </c>
      <c r="T41" t="e">
        <f>IF("N",[0]!PRINT_AREA,"AAAAAHPzvRM=")</f>
        <v>#VALUE!</v>
      </c>
      <c r="U41" t="e">
        <f>IF("N",[0]!PRINT_AREA,"AAAAAHPzvRQ=")</f>
        <v>#VALUE!</v>
      </c>
      <c r="V41" t="e">
        <f>IF("N",[0]!PRINT_AREA,"AAAAAHPzvRU=")</f>
        <v>#VALUE!</v>
      </c>
      <c r="W41" t="e">
        <f>IF("N",[0]!PRINT_AREA,"AAAAAHPzvRY=")</f>
        <v>#VALUE!</v>
      </c>
      <c r="X41" t="e">
        <f>IF("N",[0]!PRINT_AREA,"AAAAAHPzvRc=")</f>
        <v>#VALUE!</v>
      </c>
      <c r="Y41" t="e">
        <f>IF("N",[0]!PRINT_AREA,"AAAAAHPzvRg=")</f>
        <v>#VALUE!</v>
      </c>
      <c r="Z41" t="e">
        <f>IF("N",[0]!PRINT_AREA,"AAAAAHPzvRk=")</f>
        <v>#VALUE!</v>
      </c>
      <c r="AA41" t="e">
        <f>IF("N",[0]!PRINT_AREA,"AAAAAHPzvRo=")</f>
        <v>#VALUE!</v>
      </c>
    </row>
    <row r="42" spans="1:226" ht="12.75">
      <c r="A42" t="e">
        <f>IF(#REF!,"AAAAAHrZ9wA=",0)</f>
        <v>#REF!</v>
      </c>
      <c r="B42" t="e">
        <f>AND(#REF!,"AAAAAHrZ9wE=")</f>
        <v>#REF!</v>
      </c>
      <c r="C42" t="e">
        <f>AND(#REF!,"AAAAAHrZ9wI=")</f>
        <v>#REF!</v>
      </c>
      <c r="D42" t="e">
        <f>AND(#REF!,"AAAAAHrZ9wM=")</f>
        <v>#REF!</v>
      </c>
      <c r="E42" t="e">
        <f>AND(#REF!,"AAAAAHrZ9wQ=")</f>
        <v>#REF!</v>
      </c>
      <c r="F42" t="e">
        <f>AND(#REF!,"AAAAAHrZ9wU=")</f>
        <v>#REF!</v>
      </c>
      <c r="G42" t="e">
        <f>AND(#REF!,"AAAAAHrZ9wY=")</f>
        <v>#REF!</v>
      </c>
      <c r="H42" t="e">
        <f>AND(#REF!,"AAAAAHrZ9wc=")</f>
        <v>#REF!</v>
      </c>
      <c r="I42" t="e">
        <f>AND(#REF!,"AAAAAHrZ9wg=")</f>
        <v>#REF!</v>
      </c>
      <c r="J42" t="e">
        <f>AND(#REF!,"AAAAAHrZ9wk=")</f>
        <v>#REF!</v>
      </c>
      <c r="K42" t="e">
        <f>IF(#REF!,"AAAAAHrZ9wo=",0)</f>
        <v>#REF!</v>
      </c>
      <c r="L42" t="e">
        <f>AND(#REF!,"AAAAAHrZ9ws=")</f>
        <v>#REF!</v>
      </c>
      <c r="M42" t="e">
        <f>AND(#REF!,"AAAAAHrZ9ww=")</f>
        <v>#REF!</v>
      </c>
      <c r="N42" t="e">
        <f>AND(#REF!,"AAAAAHrZ9w0=")</f>
        <v>#REF!</v>
      </c>
      <c r="O42" t="e">
        <f>AND(#REF!,"AAAAAHrZ9w4=")</f>
        <v>#REF!</v>
      </c>
      <c r="P42" t="e">
        <f>AND(#REF!,"AAAAAHrZ9w8=")</f>
        <v>#REF!</v>
      </c>
      <c r="Q42" t="e">
        <f>AND(#REF!,"AAAAAHrZ9xA=")</f>
        <v>#REF!</v>
      </c>
      <c r="R42" t="e">
        <f>AND(#REF!,"AAAAAHrZ9xE=")</f>
        <v>#REF!</v>
      </c>
      <c r="S42" t="e">
        <f>AND(#REF!,"AAAAAHrZ9xI=")</f>
        <v>#REF!</v>
      </c>
      <c r="T42" t="e">
        <f>AND(#REF!,"AAAAAHrZ9xM=")</f>
        <v>#REF!</v>
      </c>
      <c r="U42" t="e">
        <f>IF(#REF!,"AAAAAHrZ9xQ=",0)</f>
        <v>#REF!</v>
      </c>
      <c r="V42" t="e">
        <f>AND(#REF!,"AAAAAHrZ9xU=")</f>
        <v>#REF!</v>
      </c>
      <c r="W42" t="e">
        <f>AND(#REF!,"AAAAAHrZ9xY=")</f>
        <v>#REF!</v>
      </c>
      <c r="X42" t="e">
        <f>AND(#REF!,"AAAAAHrZ9xc=")</f>
        <v>#REF!</v>
      </c>
      <c r="Y42" t="e">
        <f>AND(#REF!,"AAAAAHrZ9xg=")</f>
        <v>#REF!</v>
      </c>
      <c r="Z42" t="e">
        <f>AND(#REF!,"AAAAAHrZ9xk=")</f>
        <v>#REF!</v>
      </c>
      <c r="AA42" t="e">
        <f>AND(#REF!,"AAAAAHrZ9xo=")</f>
        <v>#REF!</v>
      </c>
      <c r="AB42" t="e">
        <f>AND(#REF!,"AAAAAHrZ9xs=")</f>
        <v>#REF!</v>
      </c>
      <c r="AC42" t="e">
        <f>AND(#REF!,"AAAAAHrZ9xw=")</f>
        <v>#REF!</v>
      </c>
      <c r="AD42" t="e">
        <f>AND(#REF!,"AAAAAHrZ9x0=")</f>
        <v>#REF!</v>
      </c>
      <c r="AE42" t="e">
        <f>IF(#REF!,"AAAAAHrZ9x4=",0)</f>
        <v>#REF!</v>
      </c>
      <c r="AF42" t="e">
        <f>AND(#REF!,"AAAAAHrZ9x8=")</f>
        <v>#REF!</v>
      </c>
      <c r="AG42" t="e">
        <f>AND(#REF!,"AAAAAHrZ9yA=")</f>
        <v>#REF!</v>
      </c>
      <c r="AH42" t="e">
        <f>AND(#REF!,"AAAAAHrZ9yE=")</f>
        <v>#REF!</v>
      </c>
      <c r="AI42" t="e">
        <f>AND(#REF!,"AAAAAHrZ9yI=")</f>
        <v>#REF!</v>
      </c>
      <c r="AJ42" t="e">
        <f>AND(#REF!,"AAAAAHrZ9yM=")</f>
        <v>#REF!</v>
      </c>
      <c r="AK42" t="e">
        <f>AND(#REF!,"AAAAAHrZ9yQ=")</f>
        <v>#REF!</v>
      </c>
      <c r="AL42" t="e">
        <f>AND(#REF!,"AAAAAHrZ9yU=")</f>
        <v>#REF!</v>
      </c>
      <c r="AM42" t="e">
        <f>AND(#REF!,"AAAAAHrZ9yY=")</f>
        <v>#REF!</v>
      </c>
      <c r="AN42" t="e">
        <f>AND(#REF!,"AAAAAHrZ9yc=")</f>
        <v>#REF!</v>
      </c>
      <c r="AO42" t="e">
        <f>IF(#REF!,"AAAAAHrZ9yg=",0)</f>
        <v>#REF!</v>
      </c>
      <c r="AP42" t="e">
        <f>AND(#REF!,"AAAAAHrZ9yk=")</f>
        <v>#REF!</v>
      </c>
      <c r="AQ42" t="e">
        <f>AND(#REF!,"AAAAAHrZ9yo=")</f>
        <v>#REF!</v>
      </c>
      <c r="AR42" t="e">
        <f>AND(#REF!,"AAAAAHrZ9ys=")</f>
        <v>#REF!</v>
      </c>
      <c r="AS42" t="e">
        <f>AND(#REF!,"AAAAAHrZ9yw=")</f>
        <v>#REF!</v>
      </c>
      <c r="AT42" t="e">
        <f>AND(#REF!,"AAAAAHrZ9y0=")</f>
        <v>#REF!</v>
      </c>
      <c r="AU42" t="e">
        <f>AND(#REF!,"AAAAAHrZ9y4=")</f>
        <v>#REF!</v>
      </c>
      <c r="AV42" t="e">
        <f>AND(#REF!,"AAAAAHrZ9y8=")</f>
        <v>#REF!</v>
      </c>
      <c r="AW42" t="e">
        <f>AND(#REF!,"AAAAAHrZ9zA=")</f>
        <v>#REF!</v>
      </c>
      <c r="AX42" t="e">
        <f>AND(#REF!,"AAAAAHrZ9zE=")</f>
        <v>#REF!</v>
      </c>
      <c r="AY42" t="e">
        <f>IF(#REF!,"AAAAAHrZ9zI=",0)</f>
        <v>#REF!</v>
      </c>
      <c r="AZ42" t="e">
        <f>AND(#REF!,"AAAAAHrZ9zM=")</f>
        <v>#REF!</v>
      </c>
      <c r="BA42" t="e">
        <f>AND(#REF!,"AAAAAHrZ9zQ=")</f>
        <v>#REF!</v>
      </c>
      <c r="BB42" t="e">
        <f>AND(#REF!,"AAAAAHrZ9zU=")</f>
        <v>#REF!</v>
      </c>
      <c r="BC42" t="e">
        <f>AND(#REF!,"AAAAAHrZ9zY=")</f>
        <v>#REF!</v>
      </c>
      <c r="BD42" t="e">
        <f>AND(#REF!,"AAAAAHrZ9zc=")</f>
        <v>#REF!</v>
      </c>
      <c r="BE42" t="e">
        <f>AND(#REF!,"AAAAAHrZ9zg=")</f>
        <v>#REF!</v>
      </c>
      <c r="BF42" t="e">
        <f>AND(#REF!,"AAAAAHrZ9zk=")</f>
        <v>#REF!</v>
      </c>
      <c r="BG42" t="e">
        <f>AND(#REF!,"AAAAAHrZ9zo=")</f>
        <v>#REF!</v>
      </c>
      <c r="BH42" t="e">
        <f>AND(#REF!,"AAAAAHrZ9zs=")</f>
        <v>#REF!</v>
      </c>
      <c r="BI42" t="e">
        <f>IF(#REF!,"AAAAAHrZ9zw=",0)</f>
        <v>#REF!</v>
      </c>
      <c r="BJ42" t="e">
        <f>AND(#REF!,"AAAAAHrZ9z0=")</f>
        <v>#REF!</v>
      </c>
      <c r="BK42" t="e">
        <f>AND(#REF!,"AAAAAHrZ9z4=")</f>
        <v>#REF!</v>
      </c>
      <c r="BL42" t="e">
        <f>AND(#REF!,"AAAAAHrZ9z8=")</f>
        <v>#REF!</v>
      </c>
      <c r="BM42" t="e">
        <f>AND(#REF!,"AAAAAHrZ90A=")</f>
        <v>#REF!</v>
      </c>
      <c r="BN42" t="e">
        <f>AND(#REF!,"AAAAAHrZ90E=")</f>
        <v>#REF!</v>
      </c>
      <c r="BO42" t="e">
        <f>AND(#REF!,"AAAAAHrZ90I=")</f>
        <v>#REF!</v>
      </c>
      <c r="BP42" t="e">
        <f>AND(#REF!,"AAAAAHrZ90M=")</f>
        <v>#REF!</v>
      </c>
      <c r="BQ42" t="e">
        <f>AND(#REF!,"AAAAAHrZ90Q=")</f>
        <v>#REF!</v>
      </c>
      <c r="BR42" t="e">
        <f>AND(#REF!,"AAAAAHrZ90U=")</f>
        <v>#REF!</v>
      </c>
      <c r="BS42" t="e">
        <f>IF(#REF!,"AAAAAHrZ90Y=",0)</f>
        <v>#REF!</v>
      </c>
      <c r="BT42" t="e">
        <f>AND(#REF!,"AAAAAHrZ90c=")</f>
        <v>#REF!</v>
      </c>
      <c r="BU42" t="e">
        <f>AND(#REF!,"AAAAAHrZ90g=")</f>
        <v>#REF!</v>
      </c>
      <c r="BV42" t="e">
        <f>AND(#REF!,"AAAAAHrZ90k=")</f>
        <v>#REF!</v>
      </c>
      <c r="BW42" t="e">
        <f>AND(#REF!,"AAAAAHrZ90o=")</f>
        <v>#REF!</v>
      </c>
      <c r="BX42" t="e">
        <f>AND(#REF!,"AAAAAHrZ90s=")</f>
        <v>#REF!</v>
      </c>
      <c r="BY42" t="e">
        <f>AND(#REF!,"AAAAAHrZ90w=")</f>
        <v>#REF!</v>
      </c>
      <c r="BZ42" t="e">
        <f>AND(#REF!,"AAAAAHrZ900=")</f>
        <v>#REF!</v>
      </c>
      <c r="CA42" t="e">
        <f>AND(#REF!,"AAAAAHrZ904=")</f>
        <v>#REF!</v>
      </c>
      <c r="CB42" t="e">
        <f>AND(#REF!,"AAAAAHrZ908=")</f>
        <v>#REF!</v>
      </c>
      <c r="CC42" t="e">
        <f>IF(#REF!,"AAAAAHrZ91A=",0)</f>
        <v>#REF!</v>
      </c>
      <c r="CD42" t="e">
        <f>AND(#REF!,"AAAAAHrZ91E=")</f>
        <v>#REF!</v>
      </c>
      <c r="CE42" t="e">
        <f>AND(#REF!,"AAAAAHrZ91I=")</f>
        <v>#REF!</v>
      </c>
      <c r="CF42" t="e">
        <f>AND(#REF!,"AAAAAHrZ91M=")</f>
        <v>#REF!</v>
      </c>
      <c r="CG42" t="e">
        <f>AND(#REF!,"AAAAAHrZ91Q=")</f>
        <v>#REF!</v>
      </c>
      <c r="CH42" t="e">
        <f>AND(#REF!,"AAAAAHrZ91U=")</f>
        <v>#REF!</v>
      </c>
      <c r="CI42" t="e">
        <f>AND(#REF!,"AAAAAHrZ91Y=")</f>
        <v>#REF!</v>
      </c>
      <c r="CJ42" t="e">
        <f>AND(#REF!,"AAAAAHrZ91c=")</f>
        <v>#REF!</v>
      </c>
      <c r="CK42" t="e">
        <f>AND(#REF!,"AAAAAHrZ91g=")</f>
        <v>#REF!</v>
      </c>
      <c r="CL42" t="e">
        <f>AND(#REF!,"AAAAAHrZ91k=")</f>
        <v>#REF!</v>
      </c>
      <c r="CM42" t="e">
        <f>IF(#REF!,"AAAAAHrZ91o=",0)</f>
        <v>#REF!</v>
      </c>
      <c r="CN42" t="e">
        <f>AND(#REF!,"AAAAAHrZ91s=")</f>
        <v>#REF!</v>
      </c>
      <c r="CO42" t="e">
        <f>AND(#REF!,"AAAAAHrZ91w=")</f>
        <v>#REF!</v>
      </c>
      <c r="CP42" t="e">
        <f>AND(#REF!,"AAAAAHrZ910=")</f>
        <v>#REF!</v>
      </c>
      <c r="CQ42" t="e">
        <f>AND(#REF!,"AAAAAHrZ914=")</f>
        <v>#REF!</v>
      </c>
      <c r="CR42" t="e">
        <f>AND(#REF!,"AAAAAHrZ918=")</f>
        <v>#REF!</v>
      </c>
      <c r="CS42" t="e">
        <f>AND(#REF!,"AAAAAHrZ92A=")</f>
        <v>#REF!</v>
      </c>
      <c r="CT42" t="e">
        <f>AND(#REF!,"AAAAAHrZ92E=")</f>
        <v>#REF!</v>
      </c>
      <c r="CU42" t="e">
        <f>AND(#REF!,"AAAAAHrZ92I=")</f>
        <v>#REF!</v>
      </c>
      <c r="CV42" t="e">
        <f>AND(#REF!,"AAAAAHrZ92M=")</f>
        <v>#REF!</v>
      </c>
      <c r="CW42" t="e">
        <f>IF(#REF!,"AAAAAHrZ92Q=",0)</f>
        <v>#REF!</v>
      </c>
      <c r="CX42" t="e">
        <f>AND(#REF!,"AAAAAHrZ92U=")</f>
        <v>#REF!</v>
      </c>
      <c r="CY42" t="e">
        <f>AND(#REF!,"AAAAAHrZ92Y=")</f>
        <v>#REF!</v>
      </c>
      <c r="CZ42" t="e">
        <f>AND(#REF!,"AAAAAHrZ92c=")</f>
        <v>#REF!</v>
      </c>
      <c r="DA42" t="e">
        <f>AND(#REF!,"AAAAAHrZ92g=")</f>
        <v>#REF!</v>
      </c>
      <c r="DB42" t="e">
        <f>AND(#REF!,"AAAAAHrZ92k=")</f>
        <v>#REF!</v>
      </c>
      <c r="DC42" t="e">
        <f>AND(#REF!,"AAAAAHrZ92o=")</f>
        <v>#REF!</v>
      </c>
      <c r="DD42" t="e">
        <f>AND(#REF!,"AAAAAHrZ92s=")</f>
        <v>#REF!</v>
      </c>
      <c r="DE42" t="e">
        <f>AND(#REF!,"AAAAAHrZ92w=")</f>
        <v>#REF!</v>
      </c>
      <c r="DF42" t="e">
        <f>AND(#REF!,"AAAAAHrZ920=")</f>
        <v>#REF!</v>
      </c>
      <c r="DG42" t="e">
        <f>IF(#REF!,"AAAAAHrZ924=",0)</f>
        <v>#REF!</v>
      </c>
      <c r="DH42" t="e">
        <f>AND(#REF!,"AAAAAHrZ928=")</f>
        <v>#REF!</v>
      </c>
      <c r="DI42" t="e">
        <f>AND(#REF!,"AAAAAHrZ93A=")</f>
        <v>#REF!</v>
      </c>
      <c r="DJ42" t="e">
        <f>AND(#REF!,"AAAAAHrZ93E=")</f>
        <v>#REF!</v>
      </c>
      <c r="DK42" t="e">
        <f>AND(#REF!,"AAAAAHrZ93I=")</f>
        <v>#REF!</v>
      </c>
      <c r="DL42" t="e">
        <f>AND(#REF!,"AAAAAHrZ93M=")</f>
        <v>#REF!</v>
      </c>
      <c r="DM42" t="e">
        <f>AND(#REF!,"AAAAAHrZ93Q=")</f>
        <v>#REF!</v>
      </c>
      <c r="DN42" t="e">
        <f>AND(#REF!,"AAAAAHrZ93U=")</f>
        <v>#REF!</v>
      </c>
      <c r="DO42" t="e">
        <f>AND(#REF!,"AAAAAHrZ93Y=")</f>
        <v>#REF!</v>
      </c>
      <c r="DP42" t="e">
        <f>AND(#REF!,"AAAAAHrZ93c=")</f>
        <v>#REF!</v>
      </c>
      <c r="DQ42" t="e">
        <f>IF(#REF!,"AAAAAHrZ93g=",0)</f>
        <v>#REF!</v>
      </c>
      <c r="DR42" t="e">
        <f>AND(#REF!,"AAAAAHrZ93k=")</f>
        <v>#REF!</v>
      </c>
      <c r="DS42" t="e">
        <f>AND(#REF!,"AAAAAHrZ93o=")</f>
        <v>#REF!</v>
      </c>
      <c r="DT42" t="e">
        <f>AND(#REF!,"AAAAAHrZ93s=")</f>
        <v>#REF!</v>
      </c>
      <c r="DU42" t="e">
        <f>AND(#REF!,"AAAAAHrZ93w=")</f>
        <v>#REF!</v>
      </c>
      <c r="DV42" t="e">
        <f>AND(#REF!,"AAAAAHrZ930=")</f>
        <v>#REF!</v>
      </c>
      <c r="DW42" t="e">
        <f>AND(#REF!,"AAAAAHrZ934=")</f>
        <v>#REF!</v>
      </c>
      <c r="DX42" t="e">
        <f>AND(#REF!,"AAAAAHrZ938=")</f>
        <v>#REF!</v>
      </c>
      <c r="DY42" t="e">
        <f>AND(#REF!,"AAAAAHrZ94A=")</f>
        <v>#REF!</v>
      </c>
      <c r="DZ42" t="e">
        <f>AND(#REF!,"AAAAAHrZ94E=")</f>
        <v>#REF!</v>
      </c>
      <c r="EA42" t="e">
        <f>IF(#REF!,"AAAAAHrZ94I=",0)</f>
        <v>#REF!</v>
      </c>
      <c r="EB42" t="e">
        <f>AND(#REF!,"AAAAAHrZ94M=")</f>
        <v>#REF!</v>
      </c>
      <c r="EC42" t="e">
        <f>AND(#REF!,"AAAAAHrZ94Q=")</f>
        <v>#REF!</v>
      </c>
      <c r="ED42" t="e">
        <f>AND(#REF!,"AAAAAHrZ94U=")</f>
        <v>#REF!</v>
      </c>
      <c r="EE42" t="e">
        <f>AND(#REF!,"AAAAAHrZ94Y=")</f>
        <v>#REF!</v>
      </c>
      <c r="EF42" t="e">
        <f>AND(#REF!,"AAAAAHrZ94c=")</f>
        <v>#REF!</v>
      </c>
      <c r="EG42" t="e">
        <f>AND(#REF!,"AAAAAHrZ94g=")</f>
        <v>#REF!</v>
      </c>
      <c r="EH42" t="e">
        <f>AND(#REF!,"AAAAAHrZ94k=")</f>
        <v>#REF!</v>
      </c>
      <c r="EI42" t="e">
        <f>AND(#REF!,"AAAAAHrZ94o=")</f>
        <v>#REF!</v>
      </c>
      <c r="EJ42" t="e">
        <f>AND(#REF!,"AAAAAHrZ94s=")</f>
        <v>#REF!</v>
      </c>
      <c r="EK42" t="e">
        <f>IF(#REF!,"AAAAAHrZ94w=",0)</f>
        <v>#REF!</v>
      </c>
      <c r="EL42" t="e">
        <f>AND(#REF!,"AAAAAHrZ940=")</f>
        <v>#REF!</v>
      </c>
      <c r="EM42" t="e">
        <f>AND(#REF!,"AAAAAHrZ944=")</f>
        <v>#REF!</v>
      </c>
      <c r="EN42" t="e">
        <f>AND(#REF!,"AAAAAHrZ948=")</f>
        <v>#REF!</v>
      </c>
      <c r="EO42" t="e">
        <f>AND(#REF!,"AAAAAHrZ95A=")</f>
        <v>#REF!</v>
      </c>
      <c r="EP42" t="e">
        <f>AND(#REF!,"AAAAAHrZ95E=")</f>
        <v>#REF!</v>
      </c>
      <c r="EQ42" t="e">
        <f>AND(#REF!,"AAAAAHrZ95I=")</f>
        <v>#REF!</v>
      </c>
      <c r="ER42" t="e">
        <f>AND(#REF!,"AAAAAHrZ95M=")</f>
        <v>#REF!</v>
      </c>
      <c r="ES42" t="e">
        <f>AND(#REF!,"AAAAAHrZ95Q=")</f>
        <v>#REF!</v>
      </c>
      <c r="ET42" t="e">
        <f>AND(#REF!,"AAAAAHrZ95U=")</f>
        <v>#REF!</v>
      </c>
      <c r="EU42" t="e">
        <f>IF(#REF!,"AAAAAHrZ95Y=",0)</f>
        <v>#REF!</v>
      </c>
      <c r="EV42" t="e">
        <f>AND(#REF!,"AAAAAHrZ95c=")</f>
        <v>#REF!</v>
      </c>
      <c r="EW42" t="e">
        <f>AND(#REF!,"AAAAAHrZ95g=")</f>
        <v>#REF!</v>
      </c>
      <c r="EX42" t="e">
        <f>AND(#REF!,"AAAAAHrZ95k=")</f>
        <v>#REF!</v>
      </c>
      <c r="EY42" t="e">
        <f>AND(#REF!,"AAAAAHrZ95o=")</f>
        <v>#REF!</v>
      </c>
      <c r="EZ42" t="e">
        <f>AND(#REF!,"AAAAAHrZ95s=")</f>
        <v>#REF!</v>
      </c>
      <c r="FA42" t="e">
        <f>AND(#REF!,"AAAAAHrZ95w=")</f>
        <v>#REF!</v>
      </c>
      <c r="FB42" t="e">
        <f>AND(#REF!,"AAAAAHrZ950=")</f>
        <v>#REF!</v>
      </c>
      <c r="FC42" t="e">
        <f>AND(#REF!,"AAAAAHrZ954=")</f>
        <v>#REF!</v>
      </c>
      <c r="FD42" t="e">
        <f>AND(#REF!,"AAAAAHrZ958=")</f>
        <v>#REF!</v>
      </c>
      <c r="FE42" t="e">
        <f>IF(#REF!,"AAAAAHrZ96A=",0)</f>
        <v>#REF!</v>
      </c>
      <c r="FF42" t="e">
        <f>AND(#REF!,"AAAAAHrZ96E=")</f>
        <v>#REF!</v>
      </c>
      <c r="FG42" t="e">
        <f>AND(#REF!,"AAAAAHrZ96I=")</f>
        <v>#REF!</v>
      </c>
      <c r="FH42" t="e">
        <f>AND(#REF!,"AAAAAHrZ96M=")</f>
        <v>#REF!</v>
      </c>
      <c r="FI42" t="e">
        <f>AND(#REF!,"AAAAAHrZ96Q=")</f>
        <v>#REF!</v>
      </c>
      <c r="FJ42" t="e">
        <f>AND(#REF!,"AAAAAHrZ96U=")</f>
        <v>#REF!</v>
      </c>
      <c r="FK42" t="e">
        <f>AND(#REF!,"AAAAAHrZ96Y=")</f>
        <v>#REF!</v>
      </c>
      <c r="FL42" t="e">
        <f>AND(#REF!,"AAAAAHrZ96c=")</f>
        <v>#REF!</v>
      </c>
      <c r="FM42" t="e">
        <f>AND(#REF!,"AAAAAHrZ96g=")</f>
        <v>#REF!</v>
      </c>
      <c r="FN42" t="e">
        <f>AND(#REF!,"AAAAAHrZ96k=")</f>
        <v>#REF!</v>
      </c>
      <c r="FO42" t="e">
        <f>IF(#REF!,"AAAAAHrZ96o=",0)</f>
        <v>#REF!</v>
      </c>
      <c r="FP42" t="e">
        <f>AND(#REF!,"AAAAAHrZ96s=")</f>
        <v>#REF!</v>
      </c>
      <c r="FQ42" t="e">
        <f>AND(#REF!,"AAAAAHrZ96w=")</f>
        <v>#REF!</v>
      </c>
      <c r="FR42" t="e">
        <f>AND(#REF!,"AAAAAHrZ960=")</f>
        <v>#REF!</v>
      </c>
      <c r="FS42" t="e">
        <f>AND(#REF!,"AAAAAHrZ964=")</f>
        <v>#REF!</v>
      </c>
      <c r="FT42" t="e">
        <f>AND(#REF!,"AAAAAHrZ968=")</f>
        <v>#REF!</v>
      </c>
      <c r="FU42" t="e">
        <f>AND(#REF!,"AAAAAHrZ97A=")</f>
        <v>#REF!</v>
      </c>
      <c r="FV42" t="e">
        <f>AND(#REF!,"AAAAAHrZ97E=")</f>
        <v>#REF!</v>
      </c>
      <c r="FW42" t="e">
        <f>AND(#REF!,"AAAAAHrZ97I=")</f>
        <v>#REF!</v>
      </c>
      <c r="FX42" t="e">
        <f>AND(#REF!,"AAAAAHrZ97M=")</f>
        <v>#REF!</v>
      </c>
      <c r="FY42" t="e">
        <f>IF(#REF!,"AAAAAHrZ97Q=",0)</f>
        <v>#REF!</v>
      </c>
      <c r="FZ42" t="e">
        <f>AND(#REF!,"AAAAAHrZ97U=")</f>
        <v>#REF!</v>
      </c>
      <c r="GA42" t="e">
        <f>AND(#REF!,"AAAAAHrZ97Y=")</f>
        <v>#REF!</v>
      </c>
      <c r="GB42" t="e">
        <f>AND(#REF!,"AAAAAHrZ97c=")</f>
        <v>#REF!</v>
      </c>
      <c r="GC42" t="e">
        <f>AND(#REF!,"AAAAAHrZ97g=")</f>
        <v>#REF!</v>
      </c>
      <c r="GD42" t="e">
        <f>AND(#REF!,"AAAAAHrZ97k=")</f>
        <v>#REF!</v>
      </c>
      <c r="GE42" t="e">
        <f>AND(#REF!,"AAAAAHrZ97o=")</f>
        <v>#REF!</v>
      </c>
      <c r="GF42" t="e">
        <f>AND(#REF!,"AAAAAHrZ97s=")</f>
        <v>#REF!</v>
      </c>
      <c r="GG42" t="e">
        <f>AND(#REF!,"AAAAAHrZ97w=")</f>
        <v>#REF!</v>
      </c>
      <c r="GH42" t="e">
        <f>AND(#REF!,"AAAAAHrZ970=")</f>
        <v>#REF!</v>
      </c>
      <c r="GI42" t="e">
        <f>IF(#REF!,"AAAAAHrZ974=",0)</f>
        <v>#REF!</v>
      </c>
      <c r="GJ42" t="e">
        <f>IF(#REF!,"AAAAAHrZ978=",0)</f>
        <v>#REF!</v>
      </c>
      <c r="GK42" t="e">
        <f>IF(#REF!,"AAAAAHrZ98A=",0)</f>
        <v>#REF!</v>
      </c>
      <c r="GL42" t="e">
        <f>IF(#REF!,"AAAAAHrZ98E=",0)</f>
        <v>#REF!</v>
      </c>
      <c r="GM42" t="e">
        <f>IF(#REF!,"AAAAAHrZ98I=",0)</f>
        <v>#REF!</v>
      </c>
      <c r="GN42" t="e">
        <f>IF(#REF!,"AAAAAHrZ98M=",0)</f>
        <v>#REF!</v>
      </c>
      <c r="GO42" t="e">
        <f>IF(#REF!,"AAAAAHrZ98Q=",0)</f>
        <v>#REF!</v>
      </c>
      <c r="GP42" t="e">
        <f>IF(#REF!,"AAAAAHrZ98U=",0)</f>
        <v>#REF!</v>
      </c>
      <c r="GQ42" t="e">
        <f>IF(#REF!,"AAAAAHrZ98Y=",0)</f>
        <v>#REF!</v>
      </c>
      <c r="GR42" t="s">
        <v>56</v>
      </c>
      <c r="GS42" t="e">
        <f>IF("N",[0]!PRINT_AREA,"AAAAAHrZ98g=")</f>
        <v>#VALUE!</v>
      </c>
      <c r="GT42" t="e">
        <f>IF("N",[0]!PRINT_AREA,"AAAAAHrZ98k=")</f>
        <v>#VALUE!</v>
      </c>
      <c r="GU42" t="e">
        <f>IF("N",[0]!PRINT_AREA,"AAAAAHrZ98o=")</f>
        <v>#VALUE!</v>
      </c>
      <c r="GV42" t="e">
        <f>IF("N",[0]!PRINT_AREA,"AAAAAHrZ98s=")</f>
        <v>#VALUE!</v>
      </c>
      <c r="GW42" t="e">
        <f>IF("N",[0]!PRINT_AREA,"AAAAAHrZ98w=")</f>
        <v>#VALUE!</v>
      </c>
      <c r="GX42" t="e">
        <f>IF("N",[0]!PRINT_AREA,"AAAAAHrZ980=")</f>
        <v>#VALUE!</v>
      </c>
      <c r="GY42" t="e">
        <f>IF("N",[0]!PRINT_AREA,"AAAAAHrZ984=")</f>
        <v>#VALUE!</v>
      </c>
      <c r="GZ42" t="e">
        <f>IF("N",[0]!PRINT_AREA,"AAAAAHrZ988=")</f>
        <v>#VALUE!</v>
      </c>
      <c r="HA42" t="e">
        <f>IF("N",[0]!PRINT_AREA,"AAAAAHrZ99A=")</f>
        <v>#VALUE!</v>
      </c>
      <c r="HB42" t="e">
        <f>IF("N",[0]!PRINT_AREA,"AAAAAHrZ99E=")</f>
        <v>#VALUE!</v>
      </c>
      <c r="HC42" t="e">
        <f>IF("N",[0]!PRINT_AREA,"AAAAAHrZ99I=")</f>
        <v>#VALUE!</v>
      </c>
      <c r="HD42" t="e">
        <f>IF("N",[0]!PRINT_AREA,"AAAAAHrZ99M=")</f>
        <v>#VALUE!</v>
      </c>
      <c r="HE42" t="e">
        <f>IF("N",[0]!PRINT_AREA,"AAAAAHrZ99Q=")</f>
        <v>#VALUE!</v>
      </c>
      <c r="HF42" t="e">
        <f>IF("N",[0]!PRINT_AREA,"AAAAAHrZ99U=")</f>
        <v>#VALUE!</v>
      </c>
      <c r="HG42" t="e">
        <f>IF("N",[0]!PRINT_AREA,"AAAAAHrZ99Y=")</f>
        <v>#VALUE!</v>
      </c>
      <c r="HH42" t="e">
        <f>IF("N",[0]!PRINT_AREA,"AAAAAHrZ99c=")</f>
        <v>#VALUE!</v>
      </c>
      <c r="HI42" t="e">
        <f>IF("N",[0]!PRINT_AREA,"AAAAAHrZ99g=")</f>
        <v>#VALUE!</v>
      </c>
      <c r="HJ42" t="e">
        <f>IF("N",[0]!PRINT_AREA,"AAAAAHrZ99k=")</f>
        <v>#VALUE!</v>
      </c>
      <c r="HK42" t="e">
        <f>IF("N",[0]!PRINT_AREA,"AAAAAHrZ99o=")</f>
        <v>#VALUE!</v>
      </c>
      <c r="HL42" t="e">
        <f>IF("N",[0]!PRINT_AREA,"AAAAAHrZ99s=")</f>
        <v>#VALUE!</v>
      </c>
      <c r="HM42" t="e">
        <f>IF("N",[0]!PRINT_AREA,"AAAAAHrZ99w=")</f>
        <v>#VALUE!</v>
      </c>
      <c r="HN42" t="e">
        <f>IF("N",[0]!PRINT_AREA,"AAAAAHrZ990=")</f>
        <v>#VALUE!</v>
      </c>
      <c r="HO42" t="e">
        <f>IF("N",[0]!PRINT_AREA,"AAAAAHrZ994=")</f>
        <v>#VALUE!</v>
      </c>
      <c r="HP42" t="e">
        <f>IF("N",[0]!PRINT_AREA,"AAAAAHrZ998=")</f>
        <v>#VALUE!</v>
      </c>
      <c r="HQ42" t="e">
        <f>IF("N",[0]!PRINT_AREA,"AAAAAHrZ9+A=")</f>
        <v>#VALUE!</v>
      </c>
      <c r="HR42" t="e">
        <f>IF("N",[0]!PRINT_AREA,"AAAAAHrZ9+E=")</f>
        <v>#VALUE!</v>
      </c>
    </row>
    <row r="43" spans="1:27" ht="12.75">
      <c r="A43" t="s">
        <v>57</v>
      </c>
      <c r="B43" t="e">
        <f>IF("N",[0]!PRINT_AREA,"AAAAAD9/WwE=")</f>
        <v>#VALUE!</v>
      </c>
      <c r="C43" t="e">
        <f>IF("N",[0]!PRINT_AREA,"AAAAAD9/WwI=")</f>
        <v>#VALUE!</v>
      </c>
      <c r="D43" t="e">
        <f>IF("N",[0]!PRINT_AREA,"AAAAAD9/WwM=")</f>
        <v>#VALUE!</v>
      </c>
      <c r="E43" t="e">
        <f>IF("N",[0]!PRINT_AREA,"AAAAAD9/WwQ=")</f>
        <v>#VALUE!</v>
      </c>
      <c r="F43" t="e">
        <f>IF("N",[0]!PRINT_AREA,"AAAAAD9/WwU=")</f>
        <v>#VALUE!</v>
      </c>
      <c r="G43" t="e">
        <f>IF("N",[0]!PRINT_AREA,"AAAAAD9/WwY=")</f>
        <v>#VALUE!</v>
      </c>
      <c r="H43" t="e">
        <f>IF("N",[0]!PRINT_AREA,"AAAAAD9/Wwc=")</f>
        <v>#VALUE!</v>
      </c>
      <c r="I43" t="e">
        <f>IF("N",[0]!PRINT_AREA,"AAAAAD9/Wwg=")</f>
        <v>#VALUE!</v>
      </c>
      <c r="J43" t="e">
        <f>IF("N",[0]!PRINT_AREA,"AAAAAD9/Wwk=")</f>
        <v>#VALUE!</v>
      </c>
      <c r="K43" t="e">
        <f>IF("N",[0]!PRINT_AREA,"AAAAAD9/Wwo=")</f>
        <v>#VALUE!</v>
      </c>
      <c r="L43" t="e">
        <f>IF("N",[0]!PRINT_AREA,"AAAAAD9/Wws=")</f>
        <v>#VALUE!</v>
      </c>
      <c r="M43" t="e">
        <f>IF("N",[0]!PRINT_AREA,"AAAAAD9/Www=")</f>
        <v>#VALUE!</v>
      </c>
      <c r="N43" t="e">
        <f>IF("N",[0]!PRINT_AREA,"AAAAAD9/Ww0=")</f>
        <v>#VALUE!</v>
      </c>
      <c r="O43" t="e">
        <f>IF("N",[0]!PRINT_AREA,"AAAAAD9/Ww4=")</f>
        <v>#VALUE!</v>
      </c>
      <c r="P43" t="e">
        <f>IF("N",[0]!PRINT_AREA,"AAAAAD9/Ww8=")</f>
        <v>#VALUE!</v>
      </c>
      <c r="Q43" t="e">
        <f>IF("N",[0]!PRINT_AREA,"AAAAAD9/WxA=")</f>
        <v>#VALUE!</v>
      </c>
      <c r="R43" t="e">
        <f>IF("N",[0]!PRINT_AREA,"AAAAAD9/WxE=")</f>
        <v>#VALUE!</v>
      </c>
      <c r="S43" t="e">
        <f>IF("N",[0]!PRINT_AREA,"AAAAAD9/WxI=")</f>
        <v>#VALUE!</v>
      </c>
      <c r="T43" t="e">
        <f>IF("N",[0]!PRINT_AREA,"AAAAAD9/WxM=")</f>
        <v>#VALUE!</v>
      </c>
      <c r="U43" t="e">
        <f>IF("N",[0]!PRINT_AREA,"AAAAAD9/WxQ=")</f>
        <v>#VALUE!</v>
      </c>
      <c r="V43" t="e">
        <f>IF("N",[0]!PRINT_AREA,"AAAAAD9/WxU=")</f>
        <v>#VALUE!</v>
      </c>
      <c r="W43" t="e">
        <f>IF("N",[0]!PRINT_AREA,"AAAAAD9/WxY=")</f>
        <v>#VALUE!</v>
      </c>
      <c r="X43" t="e">
        <f>IF("N",[0]!PRINT_AREA,"AAAAAD9/Wxc=")</f>
        <v>#VALUE!</v>
      </c>
      <c r="Y43" t="e">
        <f>IF("N",[0]!PRINT_AREA,"AAAAAD9/Wxg=")</f>
        <v>#VALUE!</v>
      </c>
      <c r="Z43" t="e">
        <f>IF("N",[0]!PRINT_AREA,"AAAAAD9/Wxk=")</f>
        <v>#VALUE!</v>
      </c>
      <c r="AA43" t="e">
        <f>IF("N",[0]!PRINT_AREA,"AAAAAD9/Wxo=")</f>
        <v>#VALUE!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CENNIK GALA COLLEZIONE</dc:title>
  <dc:subject>Version 2.0</dc:subject>
  <dc:creator>magda.kopinska@galameble.com</dc:creator>
  <cp:keywords/>
  <dc:description/>
  <cp:lastModifiedBy>Den-PC</cp:lastModifiedBy>
  <cp:lastPrinted>2015-07-10T10:39:28Z</cp:lastPrinted>
  <dcterms:created xsi:type="dcterms:W3CDTF">1999-07-06T11:12:36Z</dcterms:created>
  <dcterms:modified xsi:type="dcterms:W3CDTF">2015-07-10T10:42:10Z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1tE6mNFihpbl8-CO7GvzsFsNUYTjyR5nWGPQEOfySYdc</vt:lpwstr>
  </property>
  <property fmtid="{D5CDD505-2E9C-101B-9397-08002B2CF9AE}" pid="4" name="Google.Documents.RevisionId">
    <vt:lpwstr>00336513957505130454</vt:lpwstr>
  </property>
  <property fmtid="{D5CDD505-2E9C-101B-9397-08002B2CF9AE}" pid="5" name="Google.Documents.PreviousRevisionId">
    <vt:lpwstr>11172157825179546100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